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fileSharing readOnlyRecommended="1" userName="s273689" algorithmName="SHA-512" hashValue="wTqRfiL0oSz78QRG5EzKO0dugxsbEZ4EKa4Jg34MMqYGHYLrND/wSZRhz8l8WVUTvJ2hjgxN7InzwMmklDow1w==" saltValue="T6jbPQuTSErl/gSZvpvvGg==" spinCount="100000"/>
  <workbookPr filterPrivacy="1" codeName="ThisWorkbook" defaultThemeVersion="124226"/>
  <xr:revisionPtr revIDLastSave="0" documentId="8_{78EF22A2-5BDB-463A-B132-B947BFF5CE78}" xr6:coauthVersionLast="47" xr6:coauthVersionMax="47" xr10:uidLastSave="{00000000-0000-0000-0000-000000000000}"/>
  <bookViews>
    <workbookView xWindow="-120" yWindow="-120" windowWidth="29040" windowHeight="15720" tabRatio="902" xr2:uid="{00000000-000D-0000-FFFF-FFFF00000000}"/>
  </bookViews>
  <sheets>
    <sheet name="TCOS" sheetId="2" r:id="rId1"/>
    <sheet name="WS A - Rate Base Support" sheetId="38" r:id="rId2"/>
    <sheet name="WS B ADIT &amp; ITC" sheetId="5" r:id="rId3"/>
    <sheet name="WS B-1 - Actual Stmt. AF" sheetId="36" r:id="rId4"/>
    <sheet name="WS B-2 - Actual Stmt. AG" sheetId="37" r:id="rId5"/>
    <sheet name="WS B-3" sheetId="44" r:id="rId6"/>
    <sheet name="WS-B-3-A-Remeas Suprt" sheetId="45" r:id="rId7"/>
    <sheet name="WS C  - Working Capital" sheetId="6" r:id="rId8"/>
    <sheet name="WS D IPP Credits" sheetId="7" r:id="rId9"/>
    <sheet name="WS E Rev Credits" sheetId="8" r:id="rId10"/>
    <sheet name="WS F Misc Exp" sheetId="9" r:id="rId11"/>
    <sheet name="WS G  State Tax Rate" sheetId="10" r:id="rId12"/>
    <sheet name="WS H-p1 Other Taxes" sheetId="11" r:id="rId13"/>
    <sheet name="WS H-p2 Detail of Tax Amts" sheetId="31" r:id="rId14"/>
    <sheet name="WS I RESERVED" sheetId="12" r:id="rId15"/>
    <sheet name="WS J PROJECTED RTEP RR" sheetId="20" r:id="rId16"/>
    <sheet name="WS K TRUE-UP RTEP RR" sheetId="13" state="hidden" r:id="rId17"/>
    <sheet name="WS L RESERVED" sheetId="14" r:id="rId18"/>
    <sheet name="WS M - Cost of Capital" sheetId="39" r:id="rId19"/>
    <sheet name="WS N - Sale of Plant Held" sheetId="21" r:id="rId20"/>
    <sheet name="Worksheet O" sheetId="40" r:id="rId21"/>
    <sheet name="WS P Dep. Rates" sheetId="32" r:id="rId22"/>
    <sheet name="WS Q Cap Structure" sheetId="34" r:id="rId23"/>
    <sheet name="WS R Interest" sheetId="35" r:id="rId24"/>
    <sheet name="WS Schedule 12" sheetId="41" r:id="rId25"/>
    <sheet name="WS Schedule 1A" sheetId="43" r:id="rId26"/>
  </sheets>
  <definedNames>
    <definedName name="_NPh1" localSheetId="6">#REF!</definedName>
    <definedName name="_NPh1">#REF!</definedName>
    <definedName name="ActExcessAmt" localSheetId="6">#REF!</definedName>
    <definedName name="ActExcessAmt">#REF!</definedName>
    <definedName name="ActGrTaxAmt" localSheetId="6">#REF!</definedName>
    <definedName name="ActGrTaxAmt">#REF!</definedName>
    <definedName name="ActKWHExcess">#REF!</definedName>
    <definedName name="ActKWHNotUsed">#REF!</definedName>
    <definedName name="ActKWHRes">#REF!</definedName>
    <definedName name="ActKWHSubTot">#REF!</definedName>
    <definedName name="ActKWHTot">#REF!</definedName>
    <definedName name="ActNotUsedAmt">#REF!</definedName>
    <definedName name="ActResAmt">#REF!</definedName>
    <definedName name="ActSubTotAmt">#REF!</definedName>
    <definedName name="ActTotAmt">#REF!</definedName>
    <definedName name="AdminChg">#REF!</definedName>
    <definedName name="AEP">#REF!</definedName>
    <definedName name="allocator">#REF!</definedName>
    <definedName name="allocators">#REF!</definedName>
    <definedName name="allocatorsSWP">#REF!</definedName>
    <definedName name="allocatorSWP1">#REF!</definedName>
    <definedName name="APCO">#REF!</definedName>
    <definedName name="APCo_Hist_Allocators" localSheetId="20">#REF!</definedName>
    <definedName name="APCo_Hist_Allocators" localSheetId="1">#REF!</definedName>
    <definedName name="APCo_Hist_Allocators" localSheetId="13">#REF!</definedName>
    <definedName name="APCo_Hist_Allocators" localSheetId="18">#REF!</definedName>
    <definedName name="APCo_Hist_Allocators" localSheetId="25">TCOS!#REF!</definedName>
    <definedName name="APCo_Hist_Allocators" localSheetId="6">#REF!</definedName>
    <definedName name="APCo_Hist_Allocators">TCOS!#REF!</definedName>
    <definedName name="APCo_Proj_Allocators" localSheetId="13">#REF!</definedName>
    <definedName name="APCo_Proj_Allocators" localSheetId="6">#REF!</definedName>
    <definedName name="APCo_Proj_Allocators">#REF!</definedName>
    <definedName name="APCo_TU_Allocators" localSheetId="13">#REF!</definedName>
    <definedName name="APCo_TU_Allocators">#REF!</definedName>
    <definedName name="AVRGPWRFCTR">#REF!</definedName>
    <definedName name="B1HRSCRMO">#REF!</definedName>
    <definedName name="B2HRSCRMO">#REF!</definedName>
    <definedName name="BASERATECHG">#REF!</definedName>
    <definedName name="BILLKWH">#REF!</definedName>
    <definedName name="BIRPCCHG">#REF!</definedName>
    <definedName name="BIRPDCHG1">#REF!</definedName>
    <definedName name="BIRPDCHG2">#REF!</definedName>
    <definedName name="BIRPECHG1">#REF!</definedName>
    <definedName name="BIRPECHGB1">#REF!</definedName>
    <definedName name="BIRPECHGB2">#REF!</definedName>
    <definedName name="BIRPECHGB3">#REF!</definedName>
    <definedName name="BIRPECHGW">#REF!</definedName>
    <definedName name="BIRPKWH1">#REF!</definedName>
    <definedName name="BIRPKWHB1">#REF!</definedName>
    <definedName name="BIRPKWHB2">#REF!</definedName>
    <definedName name="BIRPKWHB3">#REF!</definedName>
    <definedName name="BIRPKWHWH">#REF!</definedName>
    <definedName name="BIRPMECHG1">#REF!</definedName>
    <definedName name="BIRPOFKWH">#REF!</definedName>
    <definedName name="BIRPOPKWH">#REF!</definedName>
    <definedName name="BIRPP1EC">#REF!</definedName>
    <definedName name="BIRPP2EC">#REF!</definedName>
    <definedName name="BIRPP3EC">#REF!</definedName>
    <definedName name="BIRPP4EC">#REF!</definedName>
    <definedName name="BIRPP5EC">#REF!</definedName>
    <definedName name="BIRPPDMDCHG">#REF!</definedName>
    <definedName name="BIRPRCHG">#REF!</definedName>
    <definedName name="BIRPXKVA">#REF!</definedName>
    <definedName name="BIRPXKVAPCT">#REF!</definedName>
    <definedName name="BIRPXOFKW">#REF!</definedName>
    <definedName name="BKUPKWH">#REF!</definedName>
    <definedName name="BLDAMNT">#REF!</definedName>
    <definedName name="BLDDMND">#REF!</definedName>
    <definedName name="BLDKWH">#REF!</definedName>
    <definedName name="BLDOPDMND">#REF!</definedName>
    <definedName name="BLNGKWB4EDR">#REF!</definedName>
    <definedName name="BLNGKWH">#REF!</definedName>
    <definedName name="BLNGKWHTTL">#REF!</definedName>
    <definedName name="BndBlkKwh1">#REF!</definedName>
    <definedName name="BndBlkKwh2">#REF!</definedName>
    <definedName name="BndBlkKwh3">#REF!</definedName>
    <definedName name="BndBlkKwhChg1">#REF!</definedName>
    <definedName name="BndBlkKwhChg2">#REF!</definedName>
    <definedName name="BndBlkKwhChg3">#REF!</definedName>
    <definedName name="BndBlkKwhChgT">#REF!</definedName>
    <definedName name="BndBlkKwhChgW">#REF!</definedName>
    <definedName name="BndBlkKwhT">#REF!</definedName>
    <definedName name="BndBlkKwhW">#REF!</definedName>
    <definedName name="BndCustChg">#REF!</definedName>
    <definedName name="BndDmdChg1">#REF!</definedName>
    <definedName name="BndDmdChg2">#REF!</definedName>
    <definedName name="BndExcsKvaPct">#REF!</definedName>
    <definedName name="BndMEChg">#REF!</definedName>
    <definedName name="BndOffPkKwh">#REF!</definedName>
    <definedName name="BndOnPkKwh">#REF!</definedName>
    <definedName name="BndPL1Chg">#REF!</definedName>
    <definedName name="BndPL2Chg">#REF!</definedName>
    <definedName name="BndPL3Chg">#REF!</definedName>
    <definedName name="BndPL4Chg">#REF!</definedName>
    <definedName name="BndPL5Chg">#REF!</definedName>
    <definedName name="BndReactiveChg">#REF!</definedName>
    <definedName name="BndXOfpKvaChg">#REF!</definedName>
    <definedName name="BndXOfpKwChg">#REF!</definedName>
    <definedName name="BTTrueUp">#REF!</definedName>
    <definedName name="BUNCCHG">#REF!</definedName>
    <definedName name="BUNDCHG1">#REF!</definedName>
    <definedName name="BUNDCHG2">#REF!</definedName>
    <definedName name="BUNECHG1">#REF!</definedName>
    <definedName name="BUNECHGB1">#REF!</definedName>
    <definedName name="BUNECHGB2">#REF!</definedName>
    <definedName name="BUNECHGB3">#REF!</definedName>
    <definedName name="BUNECHGW">#REF!</definedName>
    <definedName name="BUNKWH1">#REF!</definedName>
    <definedName name="BUNKWHB1">#REF!</definedName>
    <definedName name="BUNKWHB2">#REF!</definedName>
    <definedName name="BUNKWHB3">#REF!</definedName>
    <definedName name="BUNKWHWH">#REF!</definedName>
    <definedName name="BUNMECHG1">#REF!</definedName>
    <definedName name="BUNOFKWH">#REF!</definedName>
    <definedName name="BUNOPKWH">#REF!</definedName>
    <definedName name="BUNP1EC">#REF!</definedName>
    <definedName name="BUNP2EC">#REF!</definedName>
    <definedName name="BUNP3EC">#REF!</definedName>
    <definedName name="BUNP4EC">#REF!</definedName>
    <definedName name="BUNP5EC">#REF!</definedName>
    <definedName name="BUNPDMDCHG">#REF!</definedName>
    <definedName name="BUNRCHG">#REF!</definedName>
    <definedName name="BUNXKVA">#REF!</definedName>
    <definedName name="BUNXKVAPCT">#REF!</definedName>
    <definedName name="BUNXOFKW">#REF!</definedName>
    <definedName name="CALCPFCC">#REF!</definedName>
    <definedName name="CAPDEFA">#REF!</definedName>
    <definedName name="CBLKWH">#REF!</definedName>
    <definedName name="City">#REF!</definedName>
    <definedName name="CNTRCTDMND">#REF!</definedName>
    <definedName name="CoPhoneLine">#REF!</definedName>
    <definedName name="CRMOINTRPTHRS">#REF!</definedName>
    <definedName name="CRNTMOBTKWH">#REF!</definedName>
    <definedName name="CRNTMOFPKHRS">#REF!</definedName>
    <definedName name="CRNTMONPKHRS">#REF!</definedName>
    <definedName name="CRTLBLONPKHRS">#REF!</definedName>
    <definedName name="CRTLBLONPKKWH">#REF!</definedName>
    <definedName name="CSTMRCHG">#REF!</definedName>
    <definedName name="CurMoAddr1">#REF!</definedName>
    <definedName name="CurMoAddr2">#REF!</definedName>
    <definedName name="CurMoBTDetail">#REF!</definedName>
    <definedName name="CurMoBuyThrgh_Sheet">#REF!</definedName>
    <definedName name="CurMoCityStZip">#REF!</definedName>
    <definedName name="CurMoCustName">#REF!</definedName>
    <definedName name="CurMoExcessAmt">#REF!</definedName>
    <definedName name="CurMoGrTaxAmt">#REF!</definedName>
    <definedName name="CurMoKWHExcess">#REF!</definedName>
    <definedName name="CurMoKWHNotUsed">#REF!</definedName>
    <definedName name="CurMoKWHRes">#REF!</definedName>
    <definedName name="CurMoKWHSubTot">#REF!</definedName>
    <definedName name="CurMoKWHTot">#REF!</definedName>
    <definedName name="CurMoMtrMult">#REF!</definedName>
    <definedName name="CurMoNotUsedAmt">#REF!</definedName>
    <definedName name="CurMoResAmt">#REF!</definedName>
    <definedName name="CurMoSubTotAmt">#REF!</definedName>
    <definedName name="CurMoTotAmt">#REF!</definedName>
    <definedName name="CurrYear">#REF!</definedName>
    <definedName name="CustAddr1">#REF!</definedName>
    <definedName name="CustAddr2">#REF!</definedName>
    <definedName name="CustCityStZip">#REF!</definedName>
    <definedName name="CustName2">#REF!</definedName>
    <definedName name="CustTable">#REF!</definedName>
    <definedName name="DetailTotCbl">#REF!</definedName>
    <definedName name="DetailTotChg">#REF!</definedName>
    <definedName name="DetailTotKw">#REF!</definedName>
    <definedName name="DetailTotMargin">#REF!</definedName>
    <definedName name="DIRPCCHG">#REF!</definedName>
    <definedName name="DIRPDCHG1">#REF!</definedName>
    <definedName name="DIRPDCHG2">#REF!</definedName>
    <definedName name="DIRPECHG1">#REF!</definedName>
    <definedName name="DIRPECHGB1">#REF!</definedName>
    <definedName name="DIRPECHGB2">#REF!</definedName>
    <definedName name="DIRPECHGB3">#REF!</definedName>
    <definedName name="DIRPMECHG1">#REF!</definedName>
    <definedName name="DIRPMINDC">#REF!</definedName>
    <definedName name="DIRPMINEC">#REF!</definedName>
    <definedName name="DIRPOFKVA">#REF!</definedName>
    <definedName name="DIRPOFKW">#REF!</definedName>
    <definedName name="DIRPOFKWH">#REF!</definedName>
    <definedName name="DIRPOPKWH">#REF!</definedName>
    <definedName name="DIRPP1EC">#REF!</definedName>
    <definedName name="DIRPP2EC">#REF!</definedName>
    <definedName name="DIRPP3EC">#REF!</definedName>
    <definedName name="DIRPP4EC">#REF!</definedName>
    <definedName name="DIRPP5EC">#REF!</definedName>
    <definedName name="DIRPRCHG">#REF!</definedName>
    <definedName name="DisBlkKwhChg1">#REF!</definedName>
    <definedName name="DisBlkKwhChg2">#REF!</definedName>
    <definedName name="DisBlkKwhChg3">#REF!</definedName>
    <definedName name="DisBlkKwhChgT">#REF!</definedName>
    <definedName name="DisCustChg">#REF!</definedName>
    <definedName name="DisDmdChg1">#REF!</definedName>
    <definedName name="DisDmdChg2">#REF!</definedName>
    <definedName name="DisMEChg">#REF!</definedName>
    <definedName name="DisMinDChg">#REF!</definedName>
    <definedName name="DisMinEChg">#REF!</definedName>
    <definedName name="DisOffPkKwh">#REF!</definedName>
    <definedName name="DisOnPkKwh">#REF!</definedName>
    <definedName name="DisPL1Chg">#REF!</definedName>
    <definedName name="DisPL2Chg">#REF!</definedName>
    <definedName name="DisPL3Chg">#REF!</definedName>
    <definedName name="DisPL4Chg">#REF!</definedName>
    <definedName name="DisPL5Chg">#REF!</definedName>
    <definedName name="DisReactiveChg">#REF!</definedName>
    <definedName name="DisXOfpKvaChg">#REF!</definedName>
    <definedName name="DisXOfpKwChg">#REF!</definedName>
    <definedName name="DSTCCHG">#REF!</definedName>
    <definedName name="DSTDCHG1">#REF!</definedName>
    <definedName name="DSTDCHG2">#REF!</definedName>
    <definedName name="DSTECHG1">#REF!</definedName>
    <definedName name="DSTECHGB1">#REF!</definedName>
    <definedName name="DSTECHGB2">#REF!</definedName>
    <definedName name="DSTECHGB3">#REF!</definedName>
    <definedName name="DSTMECHG1">#REF!</definedName>
    <definedName name="DSTMINDC">#REF!</definedName>
    <definedName name="DSTMINEC">#REF!</definedName>
    <definedName name="DSTOFKWH">#REF!</definedName>
    <definedName name="DSTOPKWH">#REF!</definedName>
    <definedName name="DSTP1EC">#REF!</definedName>
    <definedName name="DSTP2EC">#REF!</definedName>
    <definedName name="DSTP3EC">#REF!</definedName>
    <definedName name="DSTP4EC">#REF!</definedName>
    <definedName name="DSTP5EC">#REF!</definedName>
    <definedName name="DSTRCHG">#REF!</definedName>
    <definedName name="DSTXOFKVA">#REF!</definedName>
    <definedName name="DSTXOFKW">#REF!</definedName>
    <definedName name="EDRBASE">#REF!</definedName>
    <definedName name="EDRDATE">#REF!</definedName>
    <definedName name="EDRDSCNT">#REF!</definedName>
    <definedName name="EDRLVLPCT">#REF!</definedName>
    <definedName name="EDRTYPE">#REF!</definedName>
    <definedName name="EffDate">#REF!</definedName>
    <definedName name="ELKMCGN1">#REF!</definedName>
    <definedName name="ELKMCGN2">#REF!</definedName>
    <definedName name="ENDDTM">#REF!</definedName>
    <definedName name="ENDTIME">#REF!</definedName>
    <definedName name="EstExcessAmt">#REF!</definedName>
    <definedName name="EstGrTaxAmt">#REF!</definedName>
    <definedName name="EstKWHExcess">#REF!</definedName>
    <definedName name="EstKWHNotUsed">#REF!</definedName>
    <definedName name="EstKWHRes">#REF!</definedName>
    <definedName name="EstKWHSubTot">#REF!</definedName>
    <definedName name="EstKWHTot">#REF!</definedName>
    <definedName name="EstNotUsedAmt">#REF!</definedName>
    <definedName name="EstResAmt">#REF!</definedName>
    <definedName name="EstSubTotAmt">#REF!</definedName>
    <definedName name="EstTotAmt">#REF!</definedName>
    <definedName name="EXCSKVACHG">#REF!</definedName>
    <definedName name="EXCSKVADMND">#REF!</definedName>
    <definedName name="EXCSKVAR">#REF!</definedName>
    <definedName name="FIRMKWH">#REF!</definedName>
    <definedName name="FIRSTDAY">#REF!</definedName>
    <definedName name="FRMCPCT">#REF!</definedName>
    <definedName name="FUELCHG">#REF!</definedName>
    <definedName name="FUELRATE">#REF!</definedName>
    <definedName name="GenBlkKwhChg1">#REF!</definedName>
    <definedName name="GenBlkKwhChg2">#REF!</definedName>
    <definedName name="GenBlkKwhChg3">#REF!</definedName>
    <definedName name="GenBlkKwhChgT">#REF!</definedName>
    <definedName name="GENCCHG">#REF!</definedName>
    <definedName name="GenCustChg">#REF!</definedName>
    <definedName name="GENDCHG1">#REF!</definedName>
    <definedName name="GENDCHG2">#REF!</definedName>
    <definedName name="GenDmdChg1">#REF!</definedName>
    <definedName name="GenDmdChg2">#REF!</definedName>
    <definedName name="GENECHG1">#REF!</definedName>
    <definedName name="GENECHGB1">#REF!</definedName>
    <definedName name="GENECHGB2">#REF!</definedName>
    <definedName name="GENECHGB3">#REF!</definedName>
    <definedName name="GenMEChg">#REF!</definedName>
    <definedName name="GENMECHG1">#REF!</definedName>
    <definedName name="GENMINDC">#REF!</definedName>
    <definedName name="GenMinDChg">#REF!</definedName>
    <definedName name="GENMINEC">#REF!</definedName>
    <definedName name="GenMinEChg">#REF!</definedName>
    <definedName name="GenOffPkKwh">#REF!</definedName>
    <definedName name="GENOFKWH">#REF!</definedName>
    <definedName name="GenOnPkKwh">#REF!</definedName>
    <definedName name="GENOPKWH">#REF!</definedName>
    <definedName name="GENP1EC">#REF!</definedName>
    <definedName name="GENP2EC">#REF!</definedName>
    <definedName name="GENP3EC">#REF!</definedName>
    <definedName name="GENP4EC">#REF!</definedName>
    <definedName name="GENP5EC">#REF!</definedName>
    <definedName name="GenPL1Chg">#REF!</definedName>
    <definedName name="GenPL2Chg">#REF!</definedName>
    <definedName name="GenPL3Chg">#REF!</definedName>
    <definedName name="GenPL4Chg">#REF!</definedName>
    <definedName name="GenPL5Chg">#REF!</definedName>
    <definedName name="GENRCHG">#REF!</definedName>
    <definedName name="GenReactiveChg">#REF!</definedName>
    <definedName name="GENXOFKVA">#REF!</definedName>
    <definedName name="GENXOFKW">#REF!</definedName>
    <definedName name="GenXOfpKvaChg">#REF!</definedName>
    <definedName name="GenXOfpKwChg">#REF!</definedName>
    <definedName name="GIRPCCHG">#REF!</definedName>
    <definedName name="GIRPDCHG1">#REF!</definedName>
    <definedName name="GIRPDCHG2">#REF!</definedName>
    <definedName name="GIRPECHG1">#REF!</definedName>
    <definedName name="GIRPECHGB1">#REF!</definedName>
    <definedName name="GIRPECHGB2">#REF!</definedName>
    <definedName name="GIRPECHGB3">#REF!</definedName>
    <definedName name="GIRPMECHG1">#REF!</definedName>
    <definedName name="GIRPMINDC">#REF!</definedName>
    <definedName name="GIRPMINEC">#REF!</definedName>
    <definedName name="GIRPOFKVA">#REF!</definedName>
    <definedName name="GIRPOFKW">#REF!</definedName>
    <definedName name="GIRPOFKWH">#REF!</definedName>
    <definedName name="GIRPOPKWH">#REF!</definedName>
    <definedName name="GIRPP1EC">#REF!</definedName>
    <definedName name="GIRPP2EC">#REF!</definedName>
    <definedName name="GIRPP3EC">#REF!</definedName>
    <definedName name="GIRPP4EC">#REF!</definedName>
    <definedName name="GIRPP5EC">#REF!</definedName>
    <definedName name="GIRPRCHG">#REF!</definedName>
    <definedName name="HIPREKW">#REF!</definedName>
    <definedName name="HRCRDKW">#REF!</definedName>
    <definedName name="HRCRDKWDT">#REF!</definedName>
    <definedName name="HRCRDKWTM">#REF!</definedName>
    <definedName name="HROFPKDT">#REF!</definedName>
    <definedName name="HROFPKKW">#REF!</definedName>
    <definedName name="HROFPKTM">#REF!</definedName>
    <definedName name="HRONPKDT">#REF!</definedName>
    <definedName name="HRONPKKW">#REF!</definedName>
    <definedName name="HRONPKTM">#REF!</definedName>
    <definedName name="IM_Allocators" localSheetId="20">#REF!</definedName>
    <definedName name="IM_Allocators" localSheetId="1">#REF!</definedName>
    <definedName name="IM_Allocators" localSheetId="13">#REF!</definedName>
    <definedName name="IM_Allocators" localSheetId="18">#REF!</definedName>
    <definedName name="IM_Allocators" localSheetId="25">TCOS!#REF!</definedName>
    <definedName name="IM_Allocators" localSheetId="6">#REF!</definedName>
    <definedName name="IM_Allocators">TCOS!#REF!</definedName>
    <definedName name="IMCO">#REF!</definedName>
    <definedName name="InterruptCapacity">#REF!</definedName>
    <definedName name="InterruptOfpCapacity">#REF!</definedName>
    <definedName name="InterruptType">#REF!</definedName>
    <definedName name="INTRPBLCAP">#REF!</definedName>
    <definedName name="Invdetails">#REF!</definedName>
    <definedName name="KWCHG">#REF!</definedName>
    <definedName name="KWH1NOCMM">#REF!</definedName>
    <definedName name="KWH3NOCMM">#REF!</definedName>
    <definedName name="KWHCHG">#REF!</definedName>
    <definedName name="LASTDAY">#REF!</definedName>
    <definedName name="LASTFUEL">#REF!</definedName>
    <definedName name="LASTMSRR">#REF!</definedName>
    <definedName name="LASTPFCC">#REF!</definedName>
    <definedName name="LDFCTR">#REF!</definedName>
    <definedName name="LRCREDIT">#REF!</definedName>
    <definedName name="M_A" localSheetId="20">#REF!</definedName>
    <definedName name="M_A" localSheetId="1">#REF!</definedName>
    <definedName name="M_A" localSheetId="13">#REF!</definedName>
    <definedName name="M_A" localSheetId="18">#REF!</definedName>
    <definedName name="M_A" localSheetId="25">'WS I RESERVED'!#REF!</definedName>
    <definedName name="M_A" localSheetId="6">#REF!</definedName>
    <definedName name="M_A">'WS I RESERVED'!#REF!</definedName>
    <definedName name="MACC1">#REF!</definedName>
    <definedName name="MACC2">#REF!</definedName>
    <definedName name="MAINTHRSCRMO">#REF!</definedName>
    <definedName name="MAINTKWH">#REF!</definedName>
    <definedName name="MinBillDem">#REF!</definedName>
    <definedName name="MinBillDem2">#REF!</definedName>
    <definedName name="MinBillDmd">#REF!</definedName>
    <definedName name="MSRRBLD">#REF!</definedName>
    <definedName name="MSRRCHG">#REF!</definedName>
    <definedName name="MTRMLTPLR1">#REF!</definedName>
    <definedName name="MTRMLTPLR2">#REF!</definedName>
    <definedName name="NETMRGCHG">#REF!</definedName>
    <definedName name="NODAYSINPRD">#REF!</definedName>
    <definedName name="NODELPOINTS">#REF!</definedName>
    <definedName name="NP_h" localSheetId="20">#REF!</definedName>
    <definedName name="NP_h" localSheetId="1">#REF!</definedName>
    <definedName name="NP_h" localSheetId="13">#REF!</definedName>
    <definedName name="NP_h" localSheetId="18">#REF!</definedName>
    <definedName name="NP_h" localSheetId="6">#REF!</definedName>
    <definedName name="NP_h">TCOS!$J$87</definedName>
    <definedName name="NP_h1">#REF!</definedName>
    <definedName name="NPh" localSheetId="13">#REF!</definedName>
    <definedName name="NPh">TCOS!$J$87</definedName>
    <definedName name="NvsASD">"V2006-12-31"</definedName>
    <definedName name="NvsAutoDrillOk">"VN"</definedName>
    <definedName name="NvsElapsedTime">0.000231481484661344</definedName>
    <definedName name="NvsEndTime">39091.5909490741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"%,X,RZF..,CNF.."</definedName>
    <definedName name="NvsPanelBusUnit">"V100"</definedName>
    <definedName name="NvsPanelEffdt">"V2004-06-30"</definedName>
    <definedName name="NvsPanelSetid">"VAEP"</definedName>
    <definedName name="NvsReqBU">"VX999"</definedName>
    <definedName name="NvsReqBUOnly">"VN"</definedName>
    <definedName name="NvsTransLed">"VN"</definedName>
    <definedName name="NvsTreeASD">"V2099-01-01"</definedName>
    <definedName name="NvsValTbl.ACCOUNT">"GL_ACCOUNT_TBL"</definedName>
    <definedName name="NvsValTbl.AEP_STATE_JURIS">"AEP_ST_JD_TBL"</definedName>
    <definedName name="NvsValTbl.CURRENCY_CD">"CURRENCY_CD_TBL"</definedName>
    <definedName name="OFPCBLKW">#REF!</definedName>
    <definedName name="OFPKBILLKWH">#REF!</definedName>
    <definedName name="OFPKCGNKWH">#REF!</definedName>
    <definedName name="OFPKCNTRCTCPCT">#REF!</definedName>
    <definedName name="OFPKDMPKWH">#REF!</definedName>
    <definedName name="OFPKDSCRKWH">#REF!</definedName>
    <definedName name="OFPKDT">#REF!</definedName>
    <definedName name="OFPKEXCSKW">#REF!</definedName>
    <definedName name="OFPKINCRKWH">#REF!</definedName>
    <definedName name="OFPKKVADT">#REF!</definedName>
    <definedName name="OFPKKVATM">#REF!</definedName>
    <definedName name="OFPKKVW">#REF!</definedName>
    <definedName name="OFPKKW">#REF!</definedName>
    <definedName name="OFPKKWH1NOCMM">#REF!</definedName>
    <definedName name="OFPKKWH3NOCMM">#REF!</definedName>
    <definedName name="OFPKRCRDKWH">#REF!</definedName>
    <definedName name="OFPKTM">#REF!</definedName>
    <definedName name="OFPXCSKW">#REF!</definedName>
    <definedName name="OFPXCSKWDT">#REF!</definedName>
    <definedName name="OFPXCSKWH">#REF!</definedName>
    <definedName name="OFPXCSKWTM">#REF!</definedName>
    <definedName name="ONPKBILLKWH">#REF!</definedName>
    <definedName name="ONPKCAPB">#REF!</definedName>
    <definedName name="ONPKCGNKWH">#REF!</definedName>
    <definedName name="ONPKCNTRCTCPCT">#REF!</definedName>
    <definedName name="ONPKDMPKWH">#REF!</definedName>
    <definedName name="ONPKDSCRKWH">#REF!</definedName>
    <definedName name="ONPKDT">#REF!</definedName>
    <definedName name="ONPKINCRKWH">#REF!</definedName>
    <definedName name="ONPKKVA">#REF!</definedName>
    <definedName name="ONPKKVADT">#REF!</definedName>
    <definedName name="ONPKKVATM">#REF!</definedName>
    <definedName name="ONPKKW">#REF!</definedName>
    <definedName name="ONPKKWH1NOCMM">#REF!</definedName>
    <definedName name="ONPKKWH3NOCMM">#REF!</definedName>
    <definedName name="ONPKRCRDKWH">#REF!</definedName>
    <definedName name="ONPKTM">#REF!</definedName>
    <definedName name="OPCBLKW">#REF!</definedName>
    <definedName name="OPCO">#REF!</definedName>
    <definedName name="OPXCSKW">#REF!</definedName>
    <definedName name="OPXCSKWDT">#REF!</definedName>
    <definedName name="OPXCSKWH">#REF!</definedName>
    <definedName name="OPXCSKWTM">#REF!</definedName>
    <definedName name="OTHRTRNSKWH">#REF!</definedName>
    <definedName name="P1PENPERC">#REF!</definedName>
    <definedName name="P2PENPERC">#REF!</definedName>
    <definedName name="PeakDemandChg">#REF!</definedName>
    <definedName name="PenaltyDays">#REF!</definedName>
    <definedName name="PenaltyPct">#REF!</definedName>
    <definedName name="PENDAYS">#REF!</definedName>
    <definedName name="PENDAYS2">#REF!</definedName>
    <definedName name="PFCC">#REF!</definedName>
    <definedName name="PKKVAR">#REF!</definedName>
    <definedName name="PKKVARDATE">#REF!</definedName>
    <definedName name="PKKVARTIME">#REF!</definedName>
    <definedName name="PLVLKWH1">#REF!</definedName>
    <definedName name="PLVLKWH1A">#REF!</definedName>
    <definedName name="PLVLKWH2">#REF!</definedName>
    <definedName name="PLVLKWH23A">#REF!</definedName>
    <definedName name="PLVLKWH25">#REF!</definedName>
    <definedName name="PLVLKWH2A">#REF!</definedName>
    <definedName name="PLVLKWH3">#REF!</definedName>
    <definedName name="PLVLKWH3A">#REF!</definedName>
    <definedName name="PLVLKWH4">#REF!</definedName>
    <definedName name="PLVLKWH4A">#REF!</definedName>
    <definedName name="PRICEDESIG">#REF!</definedName>
    <definedName name="PriMoAddr1">#REF!</definedName>
    <definedName name="PriMoAddr2">#REF!</definedName>
    <definedName name="PriMoBTDetail">#REF!</definedName>
    <definedName name="PriMoBuyThrgh_Sheet">#REF!</definedName>
    <definedName name="PriMoCityStZip">#REF!</definedName>
    <definedName name="PriMoCustName">#REF!</definedName>
    <definedName name="PriMoMtrMult">#REF!</definedName>
    <definedName name="_xlnm.Print_Area" localSheetId="0">TCOS!$A$3:$L$390</definedName>
    <definedName name="_xlnm.Print_Area" localSheetId="20">'Worksheet O'!$A$1:$D$37</definedName>
    <definedName name="_xlnm.Print_Area" localSheetId="2">'WS B ADIT &amp; ITC'!$A$1:$I$56</definedName>
    <definedName name="_xlnm.Print_Area" localSheetId="8">'WS D IPP Credits'!$A$3:$E$28</definedName>
    <definedName name="_xlnm.Print_Area" localSheetId="9">'WS E Rev Credits'!$A$3:$K$38</definedName>
    <definedName name="_xlnm.Print_Area" localSheetId="10">'WS F Misc Exp'!$A$3:$G$73</definedName>
    <definedName name="_xlnm.Print_Area" localSheetId="11">'WS G  State Tax Rate'!$A$3:$H$34</definedName>
    <definedName name="_xlnm.Print_Area" localSheetId="12">'WS H-p1 Other Taxes'!$A$3:$M$71</definedName>
    <definedName name="_xlnm.Print_Area" localSheetId="13">'WS H-p2 Detail of Tax Amts'!$A$1:$I$112</definedName>
    <definedName name="_xlnm.Print_Area" localSheetId="14">'WS I RESERVED'!$A$1:$J$9</definedName>
    <definedName name="_xlnm.Print_Area" localSheetId="15">'WS J PROJECTED RTEP RR'!$A$1:$O$170</definedName>
    <definedName name="_xlnm.Print_Area" localSheetId="16">'WS K TRUE-UP RTEP RR'!$A$3:$P$166</definedName>
    <definedName name="_xlnm.Print_Area" localSheetId="17">'WS L RESERVED'!$A$1:$F$15</definedName>
    <definedName name="_xlnm.Print_Area" localSheetId="19">'WS N - Sale of Plant Held'!$A$1:$U$35</definedName>
    <definedName name="_xlnm.Print_Area" localSheetId="21">'WS P Dep. Rates'!$A$1:$F$42</definedName>
    <definedName name="_xlnm.Print_Area" localSheetId="22">'WS Q Cap Structure'!$A$1:$J$237</definedName>
    <definedName name="_xlnm.Print_Area">#REF!</definedName>
    <definedName name="_xlnm.Print_Titles" localSheetId="1">'WS A - Rate Base Support'!$1:$5</definedName>
    <definedName name="_xlnm.Print_Titles" localSheetId="7">'WS C  - Working Capital'!$3:$9</definedName>
    <definedName name="_xlnm.Print_Titles" localSheetId="12">'WS H-p1 Other Taxes'!$3:$7</definedName>
    <definedName name="_xlnm.Print_Titles" localSheetId="13">'WS H-p2 Detail of Tax Amts'!$3:$6</definedName>
    <definedName name="_xlnm.Print_Titles" localSheetId="18">'WS M - Cost of Capital'!$1:$5</definedName>
    <definedName name="_xlnm.Print_Titles" localSheetId="21">'WS P Dep. Rates'!$5:$8</definedName>
    <definedName name="PRVCNT" localSheetId="6">#REF!</definedName>
    <definedName name="PRVCNT">#REF!</definedName>
    <definedName name="PRVDATE" localSheetId="6">#REF!</definedName>
    <definedName name="PRVDATE">#REF!</definedName>
    <definedName name="PRVFUEL" localSheetId="6">#REF!</definedName>
    <definedName name="PRVFUEL">#REF!</definedName>
    <definedName name="PRVKW">#REF!</definedName>
    <definedName name="PRVKWH">#REF!</definedName>
    <definedName name="PRVMSRR">#REF!</definedName>
    <definedName name="PRVPFCC">#REF!</definedName>
    <definedName name="PSO_Proj_Allocators" localSheetId="13">#REF!</definedName>
    <definedName name="PSO_Proj_Allocators">#REF!</definedName>
    <definedName name="PSOallocatorsP">#REF!</definedName>
    <definedName name="PVHIOFPCBL">#REF!</definedName>
    <definedName name="PVHIOPCBL">#REF!</definedName>
    <definedName name="RatchetFactor">#REF!</definedName>
    <definedName name="RCRDRID">#REF!</definedName>
    <definedName name="RCTVHRS">#REF!</definedName>
    <definedName name="RDRBLK1C">#REF!</definedName>
    <definedName name="RDRBLK1Q">#REF!</definedName>
    <definedName name="RDRBLK2C">#REF!</definedName>
    <definedName name="RDRBLK2Q">#REF!</definedName>
    <definedName name="RDRBLK3C">#REF!</definedName>
    <definedName name="RDRBLK3Q">#REF!</definedName>
    <definedName name="RDRBLKTC">#REF!</definedName>
    <definedName name="RDRBLKTC1">#REF!</definedName>
    <definedName name="RDRBLKTC10">#REF!</definedName>
    <definedName name="RDRBLKTC11">#REF!</definedName>
    <definedName name="RDRBLKTC12">#REF!</definedName>
    <definedName name="RDRBLKTC13">#REF!</definedName>
    <definedName name="RDRBLKTC14">#REF!</definedName>
    <definedName name="RDRBLKTC15">#REF!</definedName>
    <definedName name="RDRBLKTC16">#REF!</definedName>
    <definedName name="RDRBLKTC17">#REF!</definedName>
    <definedName name="RDRBLKTC18">#REF!</definedName>
    <definedName name="RDRBLKTC19">#REF!</definedName>
    <definedName name="RDRBLKTC2">#REF!</definedName>
    <definedName name="RDRBLKTC20">#REF!</definedName>
    <definedName name="RDRBLKTC3">#REF!</definedName>
    <definedName name="RDRBLKTC4">#REF!</definedName>
    <definedName name="RDRBLKTC5">#REF!</definedName>
    <definedName name="RDRBLKTC6">#REF!</definedName>
    <definedName name="RDRBLKTC7">#REF!</definedName>
    <definedName name="RDRBLKTC8">#REF!</definedName>
    <definedName name="RDRBLKTC9">#REF!</definedName>
    <definedName name="RDRBLKTQ">#REF!</definedName>
    <definedName name="RDRCODE">#REF!</definedName>
    <definedName name="RDRCYCLE">#REF!</definedName>
    <definedName name="RDRDATE">#REF!</definedName>
    <definedName name="RDRNAME">#REF!</definedName>
    <definedName name="RDRRATEB">#REF!</definedName>
    <definedName name="RDRRATEB1">#REF!</definedName>
    <definedName name="RDRRATEB10">#REF!</definedName>
    <definedName name="RDRRATEB11">#REF!</definedName>
    <definedName name="RDRRATEB12">#REF!</definedName>
    <definedName name="RDRRATEB13">#REF!</definedName>
    <definedName name="RDRRATEB14">#REF!</definedName>
    <definedName name="RDRRATEB15">#REF!</definedName>
    <definedName name="RDRRATEB16">#REF!</definedName>
    <definedName name="RDRRATEB17">#REF!</definedName>
    <definedName name="RDRRATEB18">#REF!</definedName>
    <definedName name="RDRRATEB19">#REF!</definedName>
    <definedName name="RDRRATEB2">#REF!</definedName>
    <definedName name="RDRRATEB20">#REF!</definedName>
    <definedName name="RDRRATEB3">#REF!</definedName>
    <definedName name="RDRRATEB4">#REF!</definedName>
    <definedName name="RDRRATEB5">#REF!</definedName>
    <definedName name="RDRRATEB6">#REF!</definedName>
    <definedName name="RDRRATEB7">#REF!</definedName>
    <definedName name="RDRRATEB8">#REF!</definedName>
    <definedName name="RDRRATEB9">#REF!</definedName>
    <definedName name="RDRRATED">#REF!</definedName>
    <definedName name="RDRRATED1">#REF!</definedName>
    <definedName name="RDRRATED10">#REF!</definedName>
    <definedName name="RDRRATED11">#REF!</definedName>
    <definedName name="RDRRATED12">#REF!</definedName>
    <definedName name="RDRRATED13">#REF!</definedName>
    <definedName name="RDRRATED14">#REF!</definedName>
    <definedName name="RDRRATED15">#REF!</definedName>
    <definedName name="RDRRATED16">#REF!</definedName>
    <definedName name="RDRRATED17">#REF!</definedName>
    <definedName name="RDRRATED18">#REF!</definedName>
    <definedName name="RDRRATED19">#REF!</definedName>
    <definedName name="RDRRATED2">#REF!</definedName>
    <definedName name="RDRRATED20">#REF!</definedName>
    <definedName name="RDRRATED3">#REF!</definedName>
    <definedName name="RDRRATED4">#REF!</definedName>
    <definedName name="RDRRATED5">#REF!</definedName>
    <definedName name="RDRRATED6">#REF!</definedName>
    <definedName name="RDRRATED7">#REF!</definedName>
    <definedName name="RDRRATED8">#REF!</definedName>
    <definedName name="RDRRATED9">#REF!</definedName>
    <definedName name="RDRRATEG">#REF!</definedName>
    <definedName name="RDRRATEG1">#REF!</definedName>
    <definedName name="RDRRATEG10">#REF!</definedName>
    <definedName name="RDRRATEG11">#REF!</definedName>
    <definedName name="RDRRATEG12">#REF!</definedName>
    <definedName name="RDRRATEG13">#REF!</definedName>
    <definedName name="RDRRATEG14">#REF!</definedName>
    <definedName name="RDRRATEG15">#REF!</definedName>
    <definedName name="RDRRATEG16">#REF!</definedName>
    <definedName name="RDRRATEG17">#REF!</definedName>
    <definedName name="RDRRATEG18">#REF!</definedName>
    <definedName name="RDRRATEG19">#REF!</definedName>
    <definedName name="RDRRATEG2">#REF!</definedName>
    <definedName name="RDRRATEG20">#REF!</definedName>
    <definedName name="RDRRATEG3">#REF!</definedName>
    <definedName name="RDRRATEG4">#REF!</definedName>
    <definedName name="RDRRATEG5">#REF!</definedName>
    <definedName name="RDRRATEG6">#REF!</definedName>
    <definedName name="RDRRATEG7">#REF!</definedName>
    <definedName name="RDRRATEG8">#REF!</definedName>
    <definedName name="RDRRATEG9">#REF!</definedName>
    <definedName name="RDRRATET">#REF!</definedName>
    <definedName name="RDRRATET1">#REF!</definedName>
    <definedName name="RDRRATET10">#REF!</definedName>
    <definedName name="RDRRATET11">#REF!</definedName>
    <definedName name="RDRRATET12">#REF!</definedName>
    <definedName name="RDRRATET13">#REF!</definedName>
    <definedName name="RDRRATET14">#REF!</definedName>
    <definedName name="RDRRATET15">#REF!</definedName>
    <definedName name="RDRRATET16">#REF!</definedName>
    <definedName name="RDRRATET17">#REF!</definedName>
    <definedName name="RDRRATET18">#REF!</definedName>
    <definedName name="RDRRATET19">#REF!</definedName>
    <definedName name="RDRRATET2">#REF!</definedName>
    <definedName name="RDRRATET20">#REF!</definedName>
    <definedName name="RDRRATET3">#REF!</definedName>
    <definedName name="RDRRATET4">#REF!</definedName>
    <definedName name="RDRRATET5">#REF!</definedName>
    <definedName name="RDRRATET6">#REF!</definedName>
    <definedName name="RDRRATET7">#REF!</definedName>
    <definedName name="RDRRATET8">#REF!</definedName>
    <definedName name="RDRRATET9">#REF!</definedName>
    <definedName name="RDRTYPE">#REF!</definedName>
    <definedName name="RDRUNITS">#REF!</definedName>
    <definedName name="_xlnm.Recorder">#REF!</definedName>
    <definedName name="Reserved_Section">#REF!</definedName>
    <definedName name="RIDERS">#REF!</definedName>
    <definedName name="RKVAHRDNG">#REF!</definedName>
    <definedName name="RTCHTCNTRCTCPCT">#REF!</definedName>
    <definedName name="RTCHTFCTR">#REF!</definedName>
    <definedName name="RTCHTFCTR2">#REF!</definedName>
    <definedName name="RTCHTHIPREVKW">#REF!</definedName>
    <definedName name="RTP_Detail">#REF!</definedName>
    <definedName name="RTPLRKW">#REF!</definedName>
    <definedName name="SDI">#REF!</definedName>
    <definedName name="SHLDRPKKW">#REF!</definedName>
    <definedName name="SHLDRPKKWDT">#REF!</definedName>
    <definedName name="SHLDRPKKWTM">#REF!</definedName>
    <definedName name="SHRDTRNSKWH">#REF!</definedName>
    <definedName name="SRPLSKWH">#REF!</definedName>
    <definedName name="STARTDTM">#REF!</definedName>
    <definedName name="State">#REF!</definedName>
    <definedName name="STDKW">#REF!</definedName>
    <definedName name="STDKWDT">#REF!</definedName>
    <definedName name="STDKWTM">#REF!</definedName>
    <definedName name="STRTTIME">#REF!</definedName>
    <definedName name="SWP_Proj_Allocators">#REF!</definedName>
    <definedName name="SWPallocatorsH">#REF!</definedName>
    <definedName name="SWPallocatorsP">#REF!</definedName>
    <definedName name="SYSPKKW">#REF!</definedName>
    <definedName name="SYSPKKWDT">#REF!</definedName>
    <definedName name="SYSPKKWTM">#REF!</definedName>
    <definedName name="TARIFF1">#REF!</definedName>
    <definedName name="TARIFF2">#REF!</definedName>
    <definedName name="TariffCode">#REF!</definedName>
    <definedName name="TariffLongName">#REF!</definedName>
    <definedName name="TariffShortName">#REF!</definedName>
    <definedName name="TAXDATE">#REF!</definedName>
    <definedName name="TAXES">#REF!</definedName>
    <definedName name="TAXNAME">#REF!</definedName>
    <definedName name="TAXRATE">#REF!</definedName>
    <definedName name="TAXTYPE">#REF!</definedName>
    <definedName name="TCst">#REF!</definedName>
    <definedName name="TCst1">#REF!</definedName>
    <definedName name="TIRPCCHG">#REF!</definedName>
    <definedName name="TIRPDCHG1">#REF!</definedName>
    <definedName name="TIRPDCHG2">#REF!</definedName>
    <definedName name="TIRPECHG1">#REF!</definedName>
    <definedName name="TIRPECHGB1">#REF!</definedName>
    <definedName name="TIRPECHGB2">#REF!</definedName>
    <definedName name="TIRPECHGB3">#REF!</definedName>
    <definedName name="TIRPMECHG1">#REF!</definedName>
    <definedName name="TIRPMINDC">#REF!</definedName>
    <definedName name="TIRPMINEC">#REF!</definedName>
    <definedName name="TIRPOFKVA">#REF!</definedName>
    <definedName name="TIRPOFKW">#REF!</definedName>
    <definedName name="TIRPOFKWH">#REF!</definedName>
    <definedName name="TIRPOPKWH">#REF!</definedName>
    <definedName name="TIRPP1EC">#REF!</definedName>
    <definedName name="TIRPP2EC">#REF!</definedName>
    <definedName name="TIRPP3EC">#REF!</definedName>
    <definedName name="TIRPP4EC">#REF!</definedName>
    <definedName name="TIRPP5EC">#REF!</definedName>
    <definedName name="TIRPRCHG">#REF!</definedName>
    <definedName name="TLsFctr">#REF!</definedName>
    <definedName name="TRCRDKWH">#REF!</definedName>
    <definedName name="TRCRDKWH2P">#REF!</definedName>
    <definedName name="TRFDATE1">#REF!</definedName>
    <definedName name="TRFDATE2">#REF!</definedName>
    <definedName name="TRFNAME1">#REF!</definedName>
    <definedName name="TRFNAME2">#REF!</definedName>
    <definedName name="TRFSHORTNM1">#REF!</definedName>
    <definedName name="TRFSHORTNM2">#REF!</definedName>
    <definedName name="TrnBlkKwhChg1">#REF!</definedName>
    <definedName name="TrnBlkKwhChg2">#REF!</definedName>
    <definedName name="TrnBlkKwhChg3">#REF!</definedName>
    <definedName name="TrnBlkKwhChgT">#REF!</definedName>
    <definedName name="TRNCCHG">#REF!</definedName>
    <definedName name="TrnCustChg">#REF!</definedName>
    <definedName name="TRNDCHG1">#REF!</definedName>
    <definedName name="TRNDCHG2">#REF!</definedName>
    <definedName name="TrnDmdChg1">#REF!</definedName>
    <definedName name="TrnDmdChg2">#REF!</definedName>
    <definedName name="TRNECHG1">#REF!</definedName>
    <definedName name="TRNECHGB1">#REF!</definedName>
    <definedName name="TRNECHGB2">#REF!</definedName>
    <definedName name="TRNECHGB3">#REF!</definedName>
    <definedName name="TrnMEChg">#REF!</definedName>
    <definedName name="TRNMECHG1">#REF!</definedName>
    <definedName name="TRNMINDC">#REF!</definedName>
    <definedName name="TrnMinDChg">#REF!</definedName>
    <definedName name="TRNMINEC">#REF!</definedName>
    <definedName name="TrnMinEChg">#REF!</definedName>
    <definedName name="TrnOffPkKwh">#REF!</definedName>
    <definedName name="TRNOFKWH">#REF!</definedName>
    <definedName name="TrnOnPkKwh">#REF!</definedName>
    <definedName name="TRNOPKWH">#REF!</definedName>
    <definedName name="TRNP1EC">#REF!</definedName>
    <definedName name="TRNP2EC">#REF!</definedName>
    <definedName name="TRNP3EC">#REF!</definedName>
    <definedName name="TRNP4EC">#REF!</definedName>
    <definedName name="TRNP5EC">#REF!</definedName>
    <definedName name="TrnPL1Chg">#REF!</definedName>
    <definedName name="TrnPL2Chg">#REF!</definedName>
    <definedName name="TrnPL3Chg">#REF!</definedName>
    <definedName name="TrnPL4Chg">#REF!</definedName>
    <definedName name="TrnPL5Chg">#REF!</definedName>
    <definedName name="TRNRCHG">#REF!</definedName>
    <definedName name="TrnReactiveChg">#REF!</definedName>
    <definedName name="TRNSKWTOFPK">#REF!</definedName>
    <definedName name="TRNSKWTONPK">#REF!</definedName>
    <definedName name="TRNXOFKVA">#REF!</definedName>
    <definedName name="TRNXOFKW">#REF!</definedName>
    <definedName name="TrnXOfpKvaChg">#REF!</definedName>
    <definedName name="TrnXOfpKwChg">#REF!</definedName>
    <definedName name="TTLBSRATETTL">#REF!</definedName>
    <definedName name="TTLCOGENKWH">#REF!</definedName>
    <definedName name="UNBUNDIND">#REF!</definedName>
    <definedName name="Z_3768C7C8_9953_11DA_B318_000FB55D51DC_.wvu.PrintArea" localSheetId="20" hidden="1">'Worksheet O'!#REF!</definedName>
    <definedName name="Z_3768C7C8_9953_11DA_B318_000FB55D51DC_.wvu.PrintArea" localSheetId="7" hidden="1">'WS C  - Working Capital'!$A$10:$N$82</definedName>
    <definedName name="Z_3768C7C8_9953_11DA_B318_000FB55D51DC_.wvu.PrintTitles" localSheetId="20" hidden="1">'Worksheet O'!#REF!</definedName>
    <definedName name="Z_3768C7C8_9953_11DA_B318_000FB55D51DC_.wvu.PrintTitles" localSheetId="7" hidden="1">'WS C  - Working Capital'!#REF!</definedName>
    <definedName name="Z_3768C7C8_9953_11DA_B318_000FB55D51DC_.wvu.Rows" localSheetId="20" hidden="1">'Worksheet O'!#REF!</definedName>
    <definedName name="Z_3768C7C8_9953_11DA_B318_000FB55D51DC_.wvu.Rows" localSheetId="7" hidden="1">'WS C  - Working Capital'!#REF!</definedName>
    <definedName name="Z_3BDD6235_B127_4929_8311_BDAF7BB89818_.wvu.PrintArea" localSheetId="20" hidden="1">'Worksheet O'!#REF!</definedName>
    <definedName name="Z_3BDD6235_B127_4929_8311_BDAF7BB89818_.wvu.PrintArea" localSheetId="7" hidden="1">'WS C  - Working Capital'!$A$10:$N$82</definedName>
    <definedName name="Z_3BDD6235_B127_4929_8311_BDAF7BB89818_.wvu.PrintTitles" localSheetId="20" hidden="1">'Worksheet O'!#REF!</definedName>
    <definedName name="Z_3BDD6235_B127_4929_8311_BDAF7BB89818_.wvu.PrintTitles" localSheetId="7" hidden="1">'WS C  - Working Capital'!#REF!</definedName>
    <definedName name="Z_3BDD6235_B127_4929_8311_BDAF7BB89818_.wvu.Rows" localSheetId="20" hidden="1">'Worksheet O'!#REF!</definedName>
    <definedName name="Z_3BDD6235_B127_4929_8311_BDAF7BB89818_.wvu.Rows" localSheetId="7" hidden="1">'WS C  - Working Capital'!#REF!</definedName>
    <definedName name="Z_B0241363_5C8A_48FC_89A6_56D55586BABE_.wvu.PrintArea" localSheetId="20" hidden="1">'Worksheet O'!#REF!</definedName>
    <definedName name="Z_B0241363_5C8A_48FC_89A6_56D55586BABE_.wvu.PrintArea" localSheetId="7" hidden="1">'WS C  - Working Capital'!$A$10:$N$82</definedName>
    <definedName name="Z_B0241363_5C8A_48FC_89A6_56D55586BABE_.wvu.PrintTitles" localSheetId="20" hidden="1">'Worksheet O'!#REF!</definedName>
    <definedName name="Z_B0241363_5C8A_48FC_89A6_56D55586BABE_.wvu.PrintTitles" localSheetId="7" hidden="1">'WS C  - Working Capital'!#REF!</definedName>
    <definedName name="Z_B0241363_5C8A_48FC_89A6_56D55586BABE_.wvu.Rows" localSheetId="20" hidden="1">'Worksheet O'!#REF!</definedName>
    <definedName name="Z_B0241363_5C8A_48FC_89A6_56D55586BABE_.wvu.Rows" localSheetId="7" hidden="1">'WS C  - Working Capital'!#REF!</definedName>
    <definedName name="Z_C0EA0F9F_7310_4201_82C9_7B8FC8DB9137_.wvu.PrintArea" localSheetId="20" hidden="1">'Worksheet O'!#REF!</definedName>
    <definedName name="Z_C0EA0F9F_7310_4201_82C9_7B8FC8DB9137_.wvu.PrintArea" localSheetId="7" hidden="1">'WS C  - Working Capital'!$A$10:$N$82</definedName>
    <definedName name="Z_C0EA0F9F_7310_4201_82C9_7B8FC8DB9137_.wvu.PrintTitles" localSheetId="20" hidden="1">'Worksheet O'!#REF!</definedName>
    <definedName name="Z_C0EA0F9F_7310_4201_82C9_7B8FC8DB9137_.wvu.PrintTitles" localSheetId="7" hidden="1">'WS C  - Working Capital'!#REF!</definedName>
    <definedName name="Z_C0EA0F9F_7310_4201_82C9_7B8FC8DB9137_.wvu.Rows" localSheetId="20" hidden="1">'Worksheet O'!#REF!</definedName>
    <definedName name="Z_C0EA0F9F_7310_4201_82C9_7B8FC8DB9137_.wvu.Rows" localSheetId="7" hidden="1">'WS C  - Working Capital'!#REF!</definedName>
    <definedName name="Z_C5140E12_E05E_4473_9142_42F37320A417_.wvu.Cols" localSheetId="13" hidden="1">'WS H-p2 Detail of Tax Amts'!$F:$F</definedName>
    <definedName name="Z_C5140E12_E05E_4473_9142_42F37320A417_.wvu.PrintArea" localSheetId="13" hidden="1">'WS H-p2 Detail of Tax Amts'!$A$3:$F$103</definedName>
    <definedName name="Z_C5140E12_E05E_4473_9142_42F37320A417_.wvu.PrintArea" localSheetId="15" hidden="1">'WS J PROJECTED RTEP RR'!$A$3:$O$83</definedName>
    <definedName name="Z_C5140E12_E05E_4473_9142_42F37320A417_.wvu.PrintTitles" localSheetId="13" hidden="1">'WS H-p2 Detail of Tax Amts'!$3:$6</definedName>
    <definedName name="Zi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35" l="1"/>
  <c r="G165" i="2" l="1"/>
  <c r="F23" i="45" l="1"/>
  <c r="D21" i="45"/>
  <c r="H21" i="45" s="1"/>
  <c r="L17" i="45"/>
  <c r="O17" i="45" s="1"/>
  <c r="H17" i="45"/>
  <c r="J15" i="45"/>
  <c r="J21" i="45" s="1"/>
  <c r="L21" i="45" s="1"/>
  <c r="D15" i="45"/>
  <c r="A14" i="45"/>
  <c r="A15" i="45" s="1"/>
  <c r="A17" i="45" s="1"/>
  <c r="A19" i="45" s="1"/>
  <c r="A20" i="45" s="1"/>
  <c r="A21" i="45" s="1"/>
  <c r="A23" i="45" s="1"/>
  <c r="O21" i="45" l="1"/>
  <c r="L15" i="45"/>
  <c r="O15" i="45" s="1"/>
  <c r="H15" i="45"/>
  <c r="D23" i="45"/>
  <c r="J23" i="45"/>
  <c r="O23" i="45" l="1"/>
  <c r="L23" i="45"/>
  <c r="G42" i="39" l="1"/>
  <c r="F42" i="39"/>
  <c r="D42" i="39"/>
  <c r="C42" i="39"/>
  <c r="D23" i="39"/>
  <c r="F23" i="39"/>
  <c r="E23" i="39"/>
  <c r="F42" i="38"/>
  <c r="D42" i="38"/>
  <c r="F23" i="38"/>
  <c r="D23" i="38"/>
  <c r="E42" i="39" l="1"/>
  <c r="C23" i="39"/>
  <c r="C42" i="38" l="1"/>
  <c r="E42" i="38"/>
  <c r="G42" i="38"/>
  <c r="C23" i="38"/>
  <c r="E23" i="38"/>
  <c r="G23" i="38"/>
  <c r="B8" i="43" l="1"/>
  <c r="E8" i="41"/>
  <c r="B8" i="41"/>
  <c r="C39" i="43"/>
  <c r="C40" i="43" s="1"/>
  <c r="C41" i="43" s="1"/>
  <c r="C42" i="43" s="1"/>
  <c r="C43" i="43" s="1"/>
  <c r="C44" i="43" s="1"/>
  <c r="C45" i="43" s="1"/>
  <c r="C46" i="43" s="1"/>
  <c r="C47" i="43" s="1"/>
  <c r="C48" i="43" s="1"/>
  <c r="C49" i="43" s="1"/>
  <c r="C50" i="43" s="1"/>
  <c r="C36" i="43"/>
  <c r="C21" i="43"/>
  <c r="C32" i="43" s="1"/>
  <c r="C39" i="41"/>
  <c r="C40" i="41" s="1"/>
  <c r="C41" i="41" s="1"/>
  <c r="C42" i="41" s="1"/>
  <c r="C43" i="41" s="1"/>
  <c r="C44" i="41" s="1"/>
  <c r="C45" i="41" s="1"/>
  <c r="C46" i="41" s="1"/>
  <c r="C47" i="41" s="1"/>
  <c r="C48" i="41" s="1"/>
  <c r="C49" i="41" s="1"/>
  <c r="C50" i="41" s="1"/>
  <c r="C36" i="41"/>
  <c r="C21" i="41"/>
  <c r="C32" i="41" s="1"/>
  <c r="C39" i="35"/>
  <c r="C40" i="35" s="1"/>
  <c r="C41" i="35" s="1"/>
  <c r="C42" i="35" s="1"/>
  <c r="C43" i="35" s="1"/>
  <c r="C44" i="35" s="1"/>
  <c r="C45" i="35" s="1"/>
  <c r="C46" i="35" s="1"/>
  <c r="C47" i="35" s="1"/>
  <c r="C48" i="35" s="1"/>
  <c r="C49" i="35" s="1"/>
  <c r="C50" i="35" s="1"/>
  <c r="C36" i="35"/>
  <c r="C21" i="35"/>
  <c r="C32" i="35" s="1"/>
  <c r="C23" i="43" l="1"/>
  <c r="C27" i="43"/>
  <c r="C31" i="43"/>
  <c r="C25" i="43"/>
  <c r="C29" i="43"/>
  <c r="C22" i="43"/>
  <c r="C26" i="43"/>
  <c r="C30" i="43"/>
  <c r="C24" i="43"/>
  <c r="C28" i="43"/>
  <c r="C25" i="41"/>
  <c r="C29" i="41"/>
  <c r="C22" i="41"/>
  <c r="C26" i="41"/>
  <c r="C30" i="41"/>
  <c r="C23" i="41"/>
  <c r="C27" i="41"/>
  <c r="C31" i="41"/>
  <c r="C24" i="41"/>
  <c r="C28" i="41"/>
  <c r="C23" i="35"/>
  <c r="C27" i="35"/>
  <c r="C31" i="35"/>
  <c r="C25" i="35"/>
  <c r="C29" i="35"/>
  <c r="C22" i="35"/>
  <c r="C26" i="35"/>
  <c r="C30" i="35"/>
  <c r="C24" i="35"/>
  <c r="C28" i="35"/>
  <c r="B44" i="44" l="1"/>
  <c r="O27" i="44"/>
  <c r="N27" i="44"/>
  <c r="L27" i="44"/>
  <c r="K27" i="44"/>
  <c r="J27" i="44"/>
  <c r="I27" i="44"/>
  <c r="B27" i="44"/>
  <c r="M27" i="44"/>
  <c r="P23" i="44"/>
  <c r="P19" i="44"/>
  <c r="Q18" i="44"/>
  <c r="P17" i="44"/>
  <c r="P16" i="44"/>
  <c r="Q15" i="44"/>
  <c r="Q14" i="44"/>
  <c r="P13" i="44"/>
  <c r="Q27" i="44" l="1"/>
  <c r="P24" i="44"/>
  <c r="P27" i="44" s="1"/>
  <c r="G136" i="2" l="1"/>
  <c r="G148" i="2"/>
  <c r="L232" i="2"/>
  <c r="L229" i="2"/>
  <c r="G233" i="2"/>
  <c r="I17" i="6"/>
  <c r="G106" i="2" s="1"/>
  <c r="D30" i="40"/>
  <c r="D23" i="40"/>
  <c r="D18" i="40"/>
  <c r="H41" i="39"/>
  <c r="H40" i="39"/>
  <c r="H39" i="39"/>
  <c r="H38" i="39"/>
  <c r="H37" i="39"/>
  <c r="H36" i="39"/>
  <c r="H35" i="39"/>
  <c r="H34" i="39"/>
  <c r="H33" i="39"/>
  <c r="H32" i="39"/>
  <c r="H31" i="39"/>
  <c r="H30" i="39"/>
  <c r="G22" i="39"/>
  <c r="G21" i="39"/>
  <c r="G20" i="39"/>
  <c r="G19" i="39"/>
  <c r="G18" i="39"/>
  <c r="G17" i="39"/>
  <c r="G16" i="39"/>
  <c r="G15" i="39"/>
  <c r="G14" i="39"/>
  <c r="G13" i="39"/>
  <c r="G12" i="39"/>
  <c r="G11" i="39"/>
  <c r="L245" i="2"/>
  <c r="L244" i="2"/>
  <c r="E74" i="39"/>
  <c r="E76" i="39" s="1"/>
  <c r="G76" i="2"/>
  <c r="G75" i="2"/>
  <c r="G74" i="2"/>
  <c r="G66" i="2"/>
  <c r="G65" i="2"/>
  <c r="G64" i="2"/>
  <c r="B9" i="32"/>
  <c r="D31" i="32"/>
  <c r="C30" i="32"/>
  <c r="D30" i="32" s="1"/>
  <c r="D29" i="32"/>
  <c r="D28" i="32"/>
  <c r="F62" i="38"/>
  <c r="E62" i="38"/>
  <c r="L213" i="2" s="1"/>
  <c r="D62" i="38"/>
  <c r="C62" i="38"/>
  <c r="L214" i="2" s="1"/>
  <c r="A7" i="40"/>
  <c r="A4" i="40"/>
  <c r="A3" i="40"/>
  <c r="A12" i="40"/>
  <c r="A15" i="40" s="1"/>
  <c r="A16" i="40" s="1"/>
  <c r="A17" i="40" s="1"/>
  <c r="A18" i="40" s="1"/>
  <c r="A19" i="40" s="1"/>
  <c r="A20" i="40" s="1"/>
  <c r="A21" i="40" s="1"/>
  <c r="B48" i="39"/>
  <c r="A4" i="39"/>
  <c r="B60" i="39" s="1"/>
  <c r="A1" i="39"/>
  <c r="C62" i="39"/>
  <c r="Q10" i="37"/>
  <c r="M10" i="37"/>
  <c r="F13" i="37"/>
  <c r="E13" i="37"/>
  <c r="D13" i="37"/>
  <c r="C13" i="37"/>
  <c r="B3" i="37"/>
  <c r="Q10" i="36"/>
  <c r="M10" i="36"/>
  <c r="C13" i="36"/>
  <c r="F13" i="36"/>
  <c r="D13" i="36"/>
  <c r="E13" i="36"/>
  <c r="B3" i="36"/>
  <c r="A1" i="38"/>
  <c r="F67" i="38"/>
  <c r="E67" i="38"/>
  <c r="D67" i="38"/>
  <c r="L240" i="2"/>
  <c r="F68" i="39"/>
  <c r="E68" i="39"/>
  <c r="D68" i="39"/>
  <c r="C68" i="39"/>
  <c r="E50" i="39" s="1"/>
  <c r="A11" i="39"/>
  <c r="A12" i="39" s="1"/>
  <c r="A13" i="39" s="1"/>
  <c r="A14" i="39" s="1"/>
  <c r="A15" i="39" s="1"/>
  <c r="A16" i="39" s="1"/>
  <c r="A17" i="39" s="1"/>
  <c r="A18" i="39" s="1"/>
  <c r="A19" i="39" s="1"/>
  <c r="A20" i="39" s="1"/>
  <c r="A21" i="39" s="1"/>
  <c r="A22" i="39" s="1"/>
  <c r="A23" i="39" s="1"/>
  <c r="E245" i="2" s="1"/>
  <c r="A2" i="39"/>
  <c r="B6" i="14"/>
  <c r="A6" i="13"/>
  <c r="J77" i="13" s="1"/>
  <c r="A6" i="20"/>
  <c r="I77" i="20" s="1"/>
  <c r="A6" i="31"/>
  <c r="A6" i="11"/>
  <c r="A6" i="10"/>
  <c r="A6" i="9"/>
  <c r="A6" i="8"/>
  <c r="B36" i="8" s="1"/>
  <c r="A6" i="7"/>
  <c r="B26" i="7" s="1"/>
  <c r="A6" i="6"/>
  <c r="A6" i="5"/>
  <c r="A4" i="38"/>
  <c r="Q27" i="21"/>
  <c r="Q22" i="21"/>
  <c r="Q17" i="21"/>
  <c r="D48" i="38"/>
  <c r="C48" i="38"/>
  <c r="F28" i="38"/>
  <c r="D28" i="38"/>
  <c r="A69" i="38"/>
  <c r="A71" i="38" s="1"/>
  <c r="E87" i="38"/>
  <c r="D87" i="38"/>
  <c r="F86" i="38"/>
  <c r="F85" i="38"/>
  <c r="E80" i="38"/>
  <c r="D80" i="38"/>
  <c r="F79" i="38"/>
  <c r="F78" i="38"/>
  <c r="F77" i="38"/>
  <c r="F76" i="38"/>
  <c r="F75" i="38"/>
  <c r="F71" i="38"/>
  <c r="L98" i="2" s="1"/>
  <c r="F69" i="38"/>
  <c r="G98" i="2" s="1"/>
  <c r="A11" i="38"/>
  <c r="A12" i="38" s="1"/>
  <c r="A13" i="38" s="1"/>
  <c r="A14" i="38" s="1"/>
  <c r="A15" i="38" s="1"/>
  <c r="A16" i="38" s="1"/>
  <c r="A17" i="38" s="1"/>
  <c r="A18" i="38" s="1"/>
  <c r="A19" i="38" s="1"/>
  <c r="A20" i="38" s="1"/>
  <c r="A21" i="38" s="1"/>
  <c r="A22" i="38" s="1"/>
  <c r="A23" i="38" s="1"/>
  <c r="A2" i="38"/>
  <c r="I39" i="31"/>
  <c r="I36" i="31"/>
  <c r="I35" i="31"/>
  <c r="I34" i="31"/>
  <c r="I33" i="31"/>
  <c r="I32" i="31"/>
  <c r="I25" i="31"/>
  <c r="I26" i="31"/>
  <c r="I27" i="31"/>
  <c r="I28" i="31"/>
  <c r="I29" i="31"/>
  <c r="D43" i="5"/>
  <c r="D42" i="5"/>
  <c r="D27" i="5"/>
  <c r="D19" i="5"/>
  <c r="B1" i="37"/>
  <c r="B1" i="36"/>
  <c r="S110" i="37"/>
  <c r="R110" i="37"/>
  <c r="Q110" i="37"/>
  <c r="O110" i="37"/>
  <c r="N110" i="37"/>
  <c r="M110" i="37"/>
  <c r="F110" i="37"/>
  <c r="E110" i="37"/>
  <c r="S109" i="37"/>
  <c r="R109" i="37"/>
  <c r="Q109" i="37"/>
  <c r="O109" i="37"/>
  <c r="N109" i="37"/>
  <c r="M109" i="37"/>
  <c r="K107" i="37"/>
  <c r="J107" i="37"/>
  <c r="I107" i="37"/>
  <c r="D107" i="37"/>
  <c r="C107" i="37"/>
  <c r="K106" i="37"/>
  <c r="J106" i="37"/>
  <c r="I106" i="37"/>
  <c r="F106" i="37"/>
  <c r="E106" i="37"/>
  <c r="F105" i="37"/>
  <c r="E105" i="37"/>
  <c r="F104" i="37"/>
  <c r="E104" i="37"/>
  <c r="F103" i="37"/>
  <c r="E103" i="37"/>
  <c r="F102" i="37"/>
  <c r="E102" i="37"/>
  <c r="F101" i="37"/>
  <c r="E101" i="37"/>
  <c r="F100" i="37"/>
  <c r="E100" i="37"/>
  <c r="F99" i="37"/>
  <c r="E99" i="37"/>
  <c r="F98" i="37"/>
  <c r="E98" i="37"/>
  <c r="F97" i="37"/>
  <c r="E97" i="37"/>
  <c r="F96" i="37"/>
  <c r="E96" i="37"/>
  <c r="K95" i="37"/>
  <c r="J95" i="37"/>
  <c r="I95" i="37"/>
  <c r="D95" i="37"/>
  <c r="C95" i="37"/>
  <c r="K94" i="37"/>
  <c r="J94" i="37"/>
  <c r="I94" i="37"/>
  <c r="D94" i="37"/>
  <c r="C94" i="37"/>
  <c r="K93" i="37"/>
  <c r="J93" i="37"/>
  <c r="I93" i="37"/>
  <c r="D93" i="37"/>
  <c r="C93" i="37"/>
  <c r="K92" i="37"/>
  <c r="J92" i="37"/>
  <c r="I92" i="37"/>
  <c r="D92" i="37"/>
  <c r="C92" i="37"/>
  <c r="K91" i="37"/>
  <c r="J91" i="37"/>
  <c r="I91" i="37"/>
  <c r="D91" i="37"/>
  <c r="C91" i="37"/>
  <c r="K90" i="37"/>
  <c r="J90" i="37"/>
  <c r="I90" i="37"/>
  <c r="D90" i="37"/>
  <c r="C90" i="37"/>
  <c r="K89" i="37"/>
  <c r="J89" i="37"/>
  <c r="I89" i="37"/>
  <c r="D89" i="37"/>
  <c r="C89" i="37"/>
  <c r="K88" i="37"/>
  <c r="J88" i="37"/>
  <c r="I88" i="37"/>
  <c r="D88" i="37"/>
  <c r="C88" i="37"/>
  <c r="K87" i="37"/>
  <c r="J87" i="37"/>
  <c r="I87" i="37"/>
  <c r="D87" i="37"/>
  <c r="C87" i="37"/>
  <c r="K86" i="37"/>
  <c r="J86" i="37"/>
  <c r="I86" i="37"/>
  <c r="D86" i="37"/>
  <c r="C86" i="37"/>
  <c r="K85" i="37"/>
  <c r="J85" i="37"/>
  <c r="I85" i="37"/>
  <c r="D85" i="37"/>
  <c r="C85" i="37"/>
  <c r="K84" i="37"/>
  <c r="J84" i="37"/>
  <c r="I84" i="37"/>
  <c r="D84" i="37"/>
  <c r="C84" i="37"/>
  <c r="K83" i="37"/>
  <c r="J83" i="37"/>
  <c r="I83" i="37"/>
  <c r="D83" i="37"/>
  <c r="C83" i="37"/>
  <c r="K82" i="37"/>
  <c r="J82" i="37"/>
  <c r="I82" i="37"/>
  <c r="D82" i="37"/>
  <c r="C82" i="37"/>
  <c r="K81" i="37"/>
  <c r="J81" i="37"/>
  <c r="I81" i="37"/>
  <c r="D81" i="37"/>
  <c r="C81" i="37"/>
  <c r="K80" i="37"/>
  <c r="J80" i="37"/>
  <c r="I80" i="37"/>
  <c r="D80" i="37"/>
  <c r="C80" i="37"/>
  <c r="K79" i="37"/>
  <c r="J79" i="37"/>
  <c r="I79" i="37"/>
  <c r="D79" i="37"/>
  <c r="C79" i="37"/>
  <c r="K78" i="37"/>
  <c r="J78" i="37"/>
  <c r="I78" i="37"/>
  <c r="D78" i="37"/>
  <c r="C78" i="37"/>
  <c r="K77" i="37"/>
  <c r="J77" i="37"/>
  <c r="I77" i="37"/>
  <c r="D77" i="37"/>
  <c r="C77" i="37"/>
  <c r="K76" i="37"/>
  <c r="J76" i="37"/>
  <c r="I76" i="37"/>
  <c r="D76" i="37"/>
  <c r="C76" i="37"/>
  <c r="K75" i="37"/>
  <c r="J75" i="37"/>
  <c r="I75" i="37"/>
  <c r="D75" i="37"/>
  <c r="C75" i="37"/>
  <c r="K74" i="37"/>
  <c r="J74" i="37"/>
  <c r="I74" i="37"/>
  <c r="D74" i="37"/>
  <c r="C74" i="37"/>
  <c r="K73" i="37"/>
  <c r="J73" i="37"/>
  <c r="I73" i="37"/>
  <c r="D73" i="37"/>
  <c r="C73" i="37"/>
  <c r="K72" i="37"/>
  <c r="J72" i="37"/>
  <c r="I72" i="37"/>
  <c r="D72" i="37"/>
  <c r="C72" i="37"/>
  <c r="K71" i="37"/>
  <c r="J71" i="37"/>
  <c r="I71" i="37"/>
  <c r="D71" i="37"/>
  <c r="C71" i="37"/>
  <c r="K70" i="37"/>
  <c r="J70" i="37"/>
  <c r="I70" i="37"/>
  <c r="D70" i="37"/>
  <c r="C70" i="37"/>
  <c r="K69" i="37"/>
  <c r="J69" i="37"/>
  <c r="I69" i="37"/>
  <c r="D69" i="37"/>
  <c r="C69" i="37"/>
  <c r="K68" i="37"/>
  <c r="J68" i="37"/>
  <c r="I68" i="37"/>
  <c r="D68" i="37"/>
  <c r="C68" i="37"/>
  <c r="K67" i="37"/>
  <c r="J67" i="37"/>
  <c r="I67" i="37"/>
  <c r="D67" i="37"/>
  <c r="C67" i="37"/>
  <c r="K66" i="37"/>
  <c r="J66" i="37"/>
  <c r="I66" i="37"/>
  <c r="D66" i="37"/>
  <c r="C66" i="37"/>
  <c r="K65" i="37"/>
  <c r="J65" i="37"/>
  <c r="I65" i="37"/>
  <c r="D65" i="37"/>
  <c r="C65" i="37"/>
  <c r="K64" i="37"/>
  <c r="J64" i="37"/>
  <c r="I64" i="37"/>
  <c r="D64" i="37"/>
  <c r="C64" i="37"/>
  <c r="K63" i="37"/>
  <c r="J63" i="37"/>
  <c r="I63" i="37"/>
  <c r="D63" i="37"/>
  <c r="C63" i="37"/>
  <c r="K62" i="37"/>
  <c r="J62" i="37"/>
  <c r="I62" i="37"/>
  <c r="D62" i="37"/>
  <c r="C62" i="37"/>
  <c r="K61" i="37"/>
  <c r="J61" i="37"/>
  <c r="I61" i="37"/>
  <c r="D61" i="37"/>
  <c r="C61" i="37"/>
  <c r="K60" i="37"/>
  <c r="J60" i="37"/>
  <c r="I60" i="37"/>
  <c r="D60" i="37"/>
  <c r="C60" i="37"/>
  <c r="K59" i="37"/>
  <c r="J59" i="37"/>
  <c r="I59" i="37"/>
  <c r="D59" i="37"/>
  <c r="C59" i="37"/>
  <c r="K58" i="37"/>
  <c r="J58" i="37"/>
  <c r="I58" i="37"/>
  <c r="D58" i="37"/>
  <c r="C58" i="37"/>
  <c r="K57" i="37"/>
  <c r="J57" i="37"/>
  <c r="I57" i="37"/>
  <c r="D57" i="37"/>
  <c r="C57" i="37"/>
  <c r="K56" i="37"/>
  <c r="J56" i="37"/>
  <c r="I56" i="37"/>
  <c r="D56" i="37"/>
  <c r="C56" i="37"/>
  <c r="K55" i="37"/>
  <c r="J55" i="37"/>
  <c r="I55" i="37"/>
  <c r="D55" i="37"/>
  <c r="C55" i="37"/>
  <c r="K54" i="37"/>
  <c r="J54" i="37"/>
  <c r="I54" i="37"/>
  <c r="D54" i="37"/>
  <c r="C54" i="37"/>
  <c r="K53" i="37"/>
  <c r="J53" i="37"/>
  <c r="I53" i="37"/>
  <c r="D53" i="37"/>
  <c r="C53" i="37"/>
  <c r="K52" i="37"/>
  <c r="J52" i="37"/>
  <c r="I52" i="37"/>
  <c r="D52" i="37"/>
  <c r="C52" i="37"/>
  <c r="K51" i="37"/>
  <c r="J51" i="37"/>
  <c r="I51" i="37"/>
  <c r="D51" i="37"/>
  <c r="C51" i="37"/>
  <c r="K50" i="37"/>
  <c r="J50" i="37"/>
  <c r="I50" i="37"/>
  <c r="D50" i="37"/>
  <c r="C50" i="37"/>
  <c r="K49" i="37"/>
  <c r="J49" i="37"/>
  <c r="I49" i="37"/>
  <c r="D49" i="37"/>
  <c r="C49" i="37"/>
  <c r="K48" i="37"/>
  <c r="J48" i="37"/>
  <c r="I48" i="37"/>
  <c r="D48" i="37"/>
  <c r="C48" i="37"/>
  <c r="K47" i="37"/>
  <c r="J47" i="37"/>
  <c r="I47" i="37"/>
  <c r="D47" i="37"/>
  <c r="C47" i="37"/>
  <c r="K46" i="37"/>
  <c r="J46" i="37"/>
  <c r="I46" i="37"/>
  <c r="D46" i="37"/>
  <c r="C46" i="37"/>
  <c r="K45" i="37"/>
  <c r="J45" i="37"/>
  <c r="I45" i="37"/>
  <c r="D45" i="37"/>
  <c r="C45" i="37"/>
  <c r="K44" i="37"/>
  <c r="J44" i="37"/>
  <c r="I44" i="37"/>
  <c r="D44" i="37"/>
  <c r="C44" i="37"/>
  <c r="K43" i="37"/>
  <c r="J43" i="37"/>
  <c r="I43" i="37"/>
  <c r="D43" i="37"/>
  <c r="C43" i="37"/>
  <c r="K42" i="37"/>
  <c r="J42" i="37"/>
  <c r="I42" i="37"/>
  <c r="D42" i="37"/>
  <c r="C42" i="37"/>
  <c r="K41" i="37"/>
  <c r="J41" i="37"/>
  <c r="I41" i="37"/>
  <c r="D41" i="37"/>
  <c r="C41" i="37"/>
  <c r="K40" i="37"/>
  <c r="J40" i="37"/>
  <c r="I40" i="37"/>
  <c r="D40" i="37"/>
  <c r="C40" i="37"/>
  <c r="K39" i="37"/>
  <c r="J39" i="37"/>
  <c r="I39" i="37"/>
  <c r="D39" i="37"/>
  <c r="C39" i="37"/>
  <c r="K38" i="37"/>
  <c r="J38" i="37"/>
  <c r="I38" i="37"/>
  <c r="D38" i="37"/>
  <c r="C38" i="37"/>
  <c r="K37" i="37"/>
  <c r="J37" i="37"/>
  <c r="I37" i="37"/>
  <c r="D37" i="37"/>
  <c r="C37" i="37"/>
  <c r="K36" i="37"/>
  <c r="J36" i="37"/>
  <c r="I36" i="37"/>
  <c r="D36" i="37"/>
  <c r="C36" i="37"/>
  <c r="K35" i="37"/>
  <c r="J35" i="37"/>
  <c r="I35" i="37"/>
  <c r="D35" i="37"/>
  <c r="C35" i="37"/>
  <c r="K34" i="37"/>
  <c r="J34" i="37"/>
  <c r="I34" i="37"/>
  <c r="D34" i="37"/>
  <c r="C34" i="37"/>
  <c r="K33" i="37"/>
  <c r="J33" i="37"/>
  <c r="I33" i="37"/>
  <c r="D33" i="37"/>
  <c r="C33" i="37"/>
  <c r="K32" i="37"/>
  <c r="J32" i="37"/>
  <c r="I32" i="37"/>
  <c r="D32" i="37"/>
  <c r="C32" i="37"/>
  <c r="K31" i="37"/>
  <c r="J31" i="37"/>
  <c r="I31" i="37"/>
  <c r="D31" i="37"/>
  <c r="C31" i="37"/>
  <c r="K30" i="37"/>
  <c r="J30" i="37"/>
  <c r="I30" i="37"/>
  <c r="D30" i="37"/>
  <c r="C30" i="37"/>
  <c r="K29" i="37"/>
  <c r="J29" i="37"/>
  <c r="I29" i="37"/>
  <c r="D29" i="37"/>
  <c r="C29" i="37"/>
  <c r="K28" i="37"/>
  <c r="J28" i="37"/>
  <c r="I28" i="37"/>
  <c r="D28" i="37"/>
  <c r="C28" i="37"/>
  <c r="K27" i="37"/>
  <c r="J27" i="37"/>
  <c r="I27" i="37"/>
  <c r="D27" i="37"/>
  <c r="C27" i="37"/>
  <c r="K26" i="37"/>
  <c r="J26" i="37"/>
  <c r="I26" i="37"/>
  <c r="D26" i="37"/>
  <c r="C26" i="37"/>
  <c r="K25" i="37"/>
  <c r="J25" i="37"/>
  <c r="I25" i="37"/>
  <c r="D25" i="37"/>
  <c r="C25" i="37"/>
  <c r="K24" i="37"/>
  <c r="J24" i="37"/>
  <c r="I24" i="37"/>
  <c r="D24" i="37"/>
  <c r="C24" i="37"/>
  <c r="K23" i="37"/>
  <c r="J23" i="37"/>
  <c r="I23" i="37"/>
  <c r="D23" i="37"/>
  <c r="C23" i="37"/>
  <c r="K22" i="37"/>
  <c r="J22" i="37"/>
  <c r="I22" i="37"/>
  <c r="D22" i="37"/>
  <c r="C22" i="37"/>
  <c r="K21" i="37"/>
  <c r="J21" i="37"/>
  <c r="I21" i="37"/>
  <c r="D21" i="37"/>
  <c r="C21" i="37"/>
  <c r="K20" i="37"/>
  <c r="J20" i="37"/>
  <c r="I20" i="37"/>
  <c r="D20" i="37"/>
  <c r="C20" i="37"/>
  <c r="K19" i="37"/>
  <c r="J19" i="37"/>
  <c r="I19" i="37"/>
  <c r="D19" i="37"/>
  <c r="C19" i="37"/>
  <c r="K18" i="37"/>
  <c r="J18" i="37"/>
  <c r="I18" i="37"/>
  <c r="D18" i="37"/>
  <c r="C18" i="37"/>
  <c r="A18" i="37"/>
  <c r="A19" i="37" s="1"/>
  <c r="A20" i="37" s="1"/>
  <c r="A21" i="37" s="1"/>
  <c r="A22" i="37" s="1"/>
  <c r="A23" i="37" s="1"/>
  <c r="A24" i="37" s="1"/>
  <c r="A25" i="37" s="1"/>
  <c r="A26" i="37" s="1"/>
  <c r="A27" i="37" s="1"/>
  <c r="A28" i="37" s="1"/>
  <c r="A29" i="37" s="1"/>
  <c r="A30" i="37" s="1"/>
  <c r="A31" i="37" s="1"/>
  <c r="A32" i="37" s="1"/>
  <c r="A33" i="37" s="1"/>
  <c r="A34" i="37" s="1"/>
  <c r="A35" i="37" s="1"/>
  <c r="A36" i="37" s="1"/>
  <c r="A37" i="37" s="1"/>
  <c r="A38" i="37" s="1"/>
  <c r="A39" i="37" s="1"/>
  <c r="A40" i="37" s="1"/>
  <c r="A41" i="37" s="1"/>
  <c r="A42" i="37" s="1"/>
  <c r="A43" i="37" s="1"/>
  <c r="A44" i="37" s="1"/>
  <c r="A45" i="37" s="1"/>
  <c r="A46" i="37" s="1"/>
  <c r="A47" i="37" s="1"/>
  <c r="A48" i="37" s="1"/>
  <c r="A49" i="37" s="1"/>
  <c r="A50" i="37" s="1"/>
  <c r="A51" i="37" s="1"/>
  <c r="A52" i="37" s="1"/>
  <c r="A53" i="37" s="1"/>
  <c r="A54" i="37" s="1"/>
  <c r="A55" i="37" s="1"/>
  <c r="A56" i="37" s="1"/>
  <c r="A57" i="37" s="1"/>
  <c r="A58" i="37" s="1"/>
  <c r="A59" i="37" s="1"/>
  <c r="A60" i="37" s="1"/>
  <c r="A61" i="37" s="1"/>
  <c r="A62" i="37" s="1"/>
  <c r="A63" i="37" s="1"/>
  <c r="A64" i="37" s="1"/>
  <c r="A65" i="37" s="1"/>
  <c r="A66" i="37" s="1"/>
  <c r="A67" i="37" s="1"/>
  <c r="A68" i="37" s="1"/>
  <c r="A69" i="37" s="1"/>
  <c r="A70" i="37" s="1"/>
  <c r="A71" i="37" s="1"/>
  <c r="A72" i="37" s="1"/>
  <c r="A73" i="37" s="1"/>
  <c r="A74" i="37" s="1"/>
  <c r="A75" i="37" s="1"/>
  <c r="A76" i="37" s="1"/>
  <c r="A77" i="37" s="1"/>
  <c r="A78" i="37" s="1"/>
  <c r="A79" i="37" s="1"/>
  <c r="A80" i="37" s="1"/>
  <c r="A81" i="37" s="1"/>
  <c r="A82" i="37" s="1"/>
  <c r="A83" i="37" s="1"/>
  <c r="A84" i="37" s="1"/>
  <c r="A85" i="37" s="1"/>
  <c r="A86" i="37" s="1"/>
  <c r="A87" i="37" s="1"/>
  <c r="A88" i="37" s="1"/>
  <c r="A89" i="37" s="1"/>
  <c r="A90" i="37" s="1"/>
  <c r="A91" i="37" s="1"/>
  <c r="A92" i="37" s="1"/>
  <c r="A93" i="37" s="1"/>
  <c r="A94" i="37" s="1"/>
  <c r="A95" i="37" s="1"/>
  <c r="A96" i="37" s="1"/>
  <c r="A97" i="37" s="1"/>
  <c r="A98" i="37" s="1"/>
  <c r="A99" i="37" s="1"/>
  <c r="A100" i="37" s="1"/>
  <c r="A101" i="37" s="1"/>
  <c r="A102" i="37" s="1"/>
  <c r="A103" i="37" s="1"/>
  <c r="A104" i="37" s="1"/>
  <c r="A105" i="37" s="1"/>
  <c r="A106" i="37" s="1"/>
  <c r="A107" i="37" s="1"/>
  <c r="K17" i="37"/>
  <c r="J17" i="37"/>
  <c r="I17" i="37"/>
  <c r="D17" i="37"/>
  <c r="C17" i="37"/>
  <c r="S197" i="36"/>
  <c r="R197" i="36"/>
  <c r="Q197" i="36"/>
  <c r="O197" i="36"/>
  <c r="N197" i="36"/>
  <c r="M197" i="36"/>
  <c r="F197" i="36"/>
  <c r="E197" i="36"/>
  <c r="K195" i="36"/>
  <c r="J195" i="36"/>
  <c r="I195" i="36"/>
  <c r="D195" i="36"/>
  <c r="C195" i="36"/>
  <c r="K194" i="36"/>
  <c r="J194" i="36"/>
  <c r="I194" i="36"/>
  <c r="D194" i="36"/>
  <c r="C194" i="36"/>
  <c r="S184" i="36"/>
  <c r="R184" i="36"/>
  <c r="Q184" i="36"/>
  <c r="O184" i="36"/>
  <c r="N184" i="36"/>
  <c r="M184" i="36"/>
  <c r="F184" i="36"/>
  <c r="E184" i="36"/>
  <c r="F181" i="36"/>
  <c r="E181" i="36"/>
  <c r="K180" i="36"/>
  <c r="J180" i="36"/>
  <c r="I180" i="36"/>
  <c r="D180" i="36"/>
  <c r="C180" i="36"/>
  <c r="A180" i="36"/>
  <c r="A183" i="36" s="1"/>
  <c r="S177" i="36"/>
  <c r="S183" i="36" s="1"/>
  <c r="R177" i="36"/>
  <c r="R183" i="36" s="1"/>
  <c r="Q177" i="36"/>
  <c r="Q183" i="36" s="1"/>
  <c r="O177" i="36"/>
  <c r="O183" i="36" s="1"/>
  <c r="N177" i="36"/>
  <c r="N183" i="36" s="1"/>
  <c r="M177" i="36"/>
  <c r="M183" i="36" s="1"/>
  <c r="F174" i="36"/>
  <c r="E174" i="36"/>
  <c r="F173" i="36"/>
  <c r="E173" i="36"/>
  <c r="F172" i="36"/>
  <c r="E172" i="36"/>
  <c r="F171" i="36"/>
  <c r="E171" i="36"/>
  <c r="F170" i="36"/>
  <c r="E170" i="36"/>
  <c r="F169" i="36"/>
  <c r="E169" i="36"/>
  <c r="K168" i="36"/>
  <c r="J168" i="36"/>
  <c r="I168" i="36"/>
  <c r="D168" i="36"/>
  <c r="C168" i="36"/>
  <c r="K167" i="36"/>
  <c r="J167" i="36"/>
  <c r="I167" i="36"/>
  <c r="D167" i="36"/>
  <c r="C167" i="36"/>
  <c r="K166" i="36"/>
  <c r="J166" i="36"/>
  <c r="I166" i="36"/>
  <c r="D166" i="36"/>
  <c r="C166" i="36"/>
  <c r="K165" i="36"/>
  <c r="J165" i="36"/>
  <c r="I165" i="36"/>
  <c r="D165" i="36"/>
  <c r="C165" i="36"/>
  <c r="K164" i="36"/>
  <c r="J164" i="36"/>
  <c r="I164" i="36"/>
  <c r="D164" i="36"/>
  <c r="C164" i="36"/>
  <c r="K163" i="36"/>
  <c r="J163" i="36"/>
  <c r="I163" i="36"/>
  <c r="D163" i="36"/>
  <c r="C163" i="36"/>
  <c r="K162" i="36"/>
  <c r="J162" i="36"/>
  <c r="I162" i="36"/>
  <c r="D162" i="36"/>
  <c r="C162" i="36"/>
  <c r="K161" i="36"/>
  <c r="J161" i="36"/>
  <c r="I161" i="36"/>
  <c r="D161" i="36"/>
  <c r="C161" i="36"/>
  <c r="K160" i="36"/>
  <c r="J160" i="36"/>
  <c r="I160" i="36"/>
  <c r="D160" i="36"/>
  <c r="C160" i="36"/>
  <c r="K159" i="36"/>
  <c r="J159" i="36"/>
  <c r="I159" i="36"/>
  <c r="D159" i="36"/>
  <c r="C159" i="36"/>
  <c r="K158" i="36"/>
  <c r="J158" i="36"/>
  <c r="I158" i="36"/>
  <c r="D158" i="36"/>
  <c r="C158" i="36"/>
  <c r="K157" i="36"/>
  <c r="J157" i="36"/>
  <c r="I157" i="36"/>
  <c r="D157" i="36"/>
  <c r="C157" i="36"/>
  <c r="K156" i="36"/>
  <c r="J156" i="36"/>
  <c r="I156" i="36"/>
  <c r="D156" i="36"/>
  <c r="C156" i="36"/>
  <c r="K155" i="36"/>
  <c r="J155" i="36"/>
  <c r="I155" i="36"/>
  <c r="D155" i="36"/>
  <c r="C155" i="36"/>
  <c r="K154" i="36"/>
  <c r="J154" i="36"/>
  <c r="I154" i="36"/>
  <c r="D154" i="36"/>
  <c r="C154" i="36"/>
  <c r="K153" i="36"/>
  <c r="J153" i="36"/>
  <c r="I153" i="36"/>
  <c r="D153" i="36"/>
  <c r="C153" i="36"/>
  <c r="K152" i="36"/>
  <c r="J152" i="36"/>
  <c r="I152" i="36"/>
  <c r="D152" i="36"/>
  <c r="C152" i="36"/>
  <c r="K151" i="36"/>
  <c r="J151" i="36"/>
  <c r="I151" i="36"/>
  <c r="D151" i="36"/>
  <c r="C151" i="36"/>
  <c r="K150" i="36"/>
  <c r="J150" i="36"/>
  <c r="I150" i="36"/>
  <c r="D150" i="36"/>
  <c r="C150" i="36"/>
  <c r="K149" i="36"/>
  <c r="J149" i="36"/>
  <c r="I149" i="36"/>
  <c r="D149" i="36"/>
  <c r="C149" i="36"/>
  <c r="K148" i="36"/>
  <c r="J148" i="36"/>
  <c r="I148" i="36"/>
  <c r="D148" i="36"/>
  <c r="C148" i="36"/>
  <c r="K147" i="36"/>
  <c r="J147" i="36"/>
  <c r="I147" i="36"/>
  <c r="D147" i="36"/>
  <c r="C147" i="36"/>
  <c r="K146" i="36"/>
  <c r="J146" i="36"/>
  <c r="I146" i="36"/>
  <c r="D146" i="36"/>
  <c r="C146" i="36"/>
  <c r="K145" i="36"/>
  <c r="J145" i="36"/>
  <c r="I145" i="36"/>
  <c r="D145" i="36"/>
  <c r="C145" i="36"/>
  <c r="K144" i="36"/>
  <c r="J144" i="36"/>
  <c r="I144" i="36"/>
  <c r="D144" i="36"/>
  <c r="C144" i="36"/>
  <c r="K143" i="36"/>
  <c r="J143" i="36"/>
  <c r="I143" i="36"/>
  <c r="D143" i="36"/>
  <c r="C143" i="36"/>
  <c r="K142" i="36"/>
  <c r="J142" i="36"/>
  <c r="I142" i="36"/>
  <c r="D142" i="36"/>
  <c r="C142" i="36"/>
  <c r="K141" i="36"/>
  <c r="J141" i="36"/>
  <c r="I141" i="36"/>
  <c r="D141" i="36"/>
  <c r="C141" i="36"/>
  <c r="K140" i="36"/>
  <c r="J140" i="36"/>
  <c r="I140" i="36"/>
  <c r="D140" i="36"/>
  <c r="C140" i="36"/>
  <c r="K139" i="36"/>
  <c r="J139" i="36"/>
  <c r="I139" i="36"/>
  <c r="D139" i="36"/>
  <c r="C139" i="36"/>
  <c r="K138" i="36"/>
  <c r="J138" i="36"/>
  <c r="I138" i="36"/>
  <c r="D138" i="36"/>
  <c r="C138" i="36"/>
  <c r="K137" i="36"/>
  <c r="J137" i="36"/>
  <c r="I137" i="36"/>
  <c r="D137" i="36"/>
  <c r="C137" i="36"/>
  <c r="K136" i="36"/>
  <c r="J136" i="36"/>
  <c r="I136" i="36"/>
  <c r="D136" i="36"/>
  <c r="C136" i="36"/>
  <c r="K135" i="36"/>
  <c r="J135" i="36"/>
  <c r="I135" i="36"/>
  <c r="D135" i="36"/>
  <c r="C135" i="36"/>
  <c r="K134" i="36"/>
  <c r="J134" i="36"/>
  <c r="I134" i="36"/>
  <c r="D134" i="36"/>
  <c r="C134" i="36"/>
  <c r="K133" i="36"/>
  <c r="J133" i="36"/>
  <c r="I133" i="36"/>
  <c r="D133" i="36"/>
  <c r="C133" i="36"/>
  <c r="K132" i="36"/>
  <c r="J132" i="36"/>
  <c r="I132" i="36"/>
  <c r="D132" i="36"/>
  <c r="C132" i="36"/>
  <c r="K131" i="36"/>
  <c r="J131" i="36"/>
  <c r="I131" i="36"/>
  <c r="D131" i="36"/>
  <c r="C131" i="36"/>
  <c r="K130" i="36"/>
  <c r="J130" i="36"/>
  <c r="I130" i="36"/>
  <c r="D130" i="36"/>
  <c r="C130" i="36"/>
  <c r="K129" i="36"/>
  <c r="J129" i="36"/>
  <c r="I129" i="36"/>
  <c r="D129" i="36"/>
  <c r="C129" i="36"/>
  <c r="K128" i="36"/>
  <c r="J128" i="36"/>
  <c r="I128" i="36"/>
  <c r="D128" i="36"/>
  <c r="C128" i="36"/>
  <c r="K127" i="36"/>
  <c r="J127" i="36"/>
  <c r="I127" i="36"/>
  <c r="D127" i="36"/>
  <c r="C127" i="36"/>
  <c r="K126" i="36"/>
  <c r="J126" i="36"/>
  <c r="I126" i="36"/>
  <c r="D126" i="36"/>
  <c r="C126" i="36"/>
  <c r="K125" i="36"/>
  <c r="J125" i="36"/>
  <c r="I125" i="36"/>
  <c r="D125" i="36"/>
  <c r="C125" i="36"/>
  <c r="K124" i="36"/>
  <c r="J124" i="36"/>
  <c r="I124" i="36"/>
  <c r="D124" i="36"/>
  <c r="C124" i="36"/>
  <c r="K123" i="36"/>
  <c r="J123" i="36"/>
  <c r="I123" i="36"/>
  <c r="D123" i="36"/>
  <c r="C123" i="36"/>
  <c r="K122" i="36"/>
  <c r="J122" i="36"/>
  <c r="I122" i="36"/>
  <c r="D122" i="36"/>
  <c r="C122" i="36"/>
  <c r="K121" i="36"/>
  <c r="J121" i="36"/>
  <c r="I121" i="36"/>
  <c r="D121" i="36"/>
  <c r="C121" i="36"/>
  <c r="K120" i="36"/>
  <c r="J120" i="36"/>
  <c r="I120" i="36"/>
  <c r="D120" i="36"/>
  <c r="C120" i="36"/>
  <c r="K119" i="36"/>
  <c r="J119" i="36"/>
  <c r="I119" i="36"/>
  <c r="D119" i="36"/>
  <c r="C119" i="36"/>
  <c r="K118" i="36"/>
  <c r="J118" i="36"/>
  <c r="I118" i="36"/>
  <c r="D118" i="36"/>
  <c r="C118" i="36"/>
  <c r="K117" i="36"/>
  <c r="J117" i="36"/>
  <c r="I117" i="36"/>
  <c r="D117" i="36"/>
  <c r="C117" i="36"/>
  <c r="K116" i="36"/>
  <c r="J116" i="36"/>
  <c r="I116" i="36"/>
  <c r="D116" i="36"/>
  <c r="C116" i="36"/>
  <c r="K115" i="36"/>
  <c r="J115" i="36"/>
  <c r="I115" i="36"/>
  <c r="D115" i="36"/>
  <c r="C115" i="36"/>
  <c r="K114" i="36"/>
  <c r="J114" i="36"/>
  <c r="I114" i="36"/>
  <c r="D114" i="36"/>
  <c r="C114" i="36"/>
  <c r="K113" i="36"/>
  <c r="J113" i="36"/>
  <c r="I113" i="36"/>
  <c r="D113" i="36"/>
  <c r="C113" i="36"/>
  <c r="K112" i="36"/>
  <c r="J112" i="36"/>
  <c r="I112" i="36"/>
  <c r="D112" i="36"/>
  <c r="C112" i="36"/>
  <c r="K111" i="36"/>
  <c r="J111" i="36"/>
  <c r="I111" i="36"/>
  <c r="D111" i="36"/>
  <c r="C111" i="36"/>
  <c r="K110" i="36"/>
  <c r="J110" i="36"/>
  <c r="I110" i="36"/>
  <c r="D110" i="36"/>
  <c r="C110" i="36"/>
  <c r="K109" i="36"/>
  <c r="J109" i="36"/>
  <c r="I109" i="36"/>
  <c r="D109" i="36"/>
  <c r="C109" i="36"/>
  <c r="K108" i="36"/>
  <c r="J108" i="36"/>
  <c r="I108" i="36"/>
  <c r="D108" i="36"/>
  <c r="C108" i="36"/>
  <c r="K107" i="36"/>
  <c r="J107" i="36"/>
  <c r="I107" i="36"/>
  <c r="D107" i="36"/>
  <c r="C107" i="36"/>
  <c r="K106" i="36"/>
  <c r="J106" i="36"/>
  <c r="I106" i="36"/>
  <c r="D106" i="36"/>
  <c r="C106" i="36"/>
  <c r="K105" i="36"/>
  <c r="J105" i="36"/>
  <c r="I105" i="36"/>
  <c r="D105" i="36"/>
  <c r="C105" i="36"/>
  <c r="K104" i="36"/>
  <c r="J104" i="36"/>
  <c r="I104" i="36"/>
  <c r="D104" i="36"/>
  <c r="C104" i="36"/>
  <c r="K103" i="36"/>
  <c r="J103" i="36"/>
  <c r="I103" i="36"/>
  <c r="D103" i="36"/>
  <c r="C103" i="36"/>
  <c r="K102" i="36"/>
  <c r="J102" i="36"/>
  <c r="I102" i="36"/>
  <c r="D102" i="36"/>
  <c r="C102" i="36"/>
  <c r="K101" i="36"/>
  <c r="J101" i="36"/>
  <c r="I101" i="36"/>
  <c r="D101" i="36"/>
  <c r="C101" i="36"/>
  <c r="K100" i="36"/>
  <c r="J100" i="36"/>
  <c r="I100" i="36"/>
  <c r="D100" i="36"/>
  <c r="C100" i="36"/>
  <c r="K99" i="36"/>
  <c r="J99" i="36"/>
  <c r="I99" i="36"/>
  <c r="D99" i="36"/>
  <c r="C99" i="36"/>
  <c r="K98" i="36"/>
  <c r="J98" i="36"/>
  <c r="I98" i="36"/>
  <c r="D98" i="36"/>
  <c r="C98" i="36"/>
  <c r="K97" i="36"/>
  <c r="J97" i="36"/>
  <c r="I97" i="36"/>
  <c r="D97" i="36"/>
  <c r="C97" i="36"/>
  <c r="K96" i="36"/>
  <c r="J96" i="36"/>
  <c r="I96" i="36"/>
  <c r="D96" i="36"/>
  <c r="C96" i="36"/>
  <c r="K95" i="36"/>
  <c r="J95" i="36"/>
  <c r="I95" i="36"/>
  <c r="D95" i="36"/>
  <c r="C95" i="36"/>
  <c r="K94" i="36"/>
  <c r="J94" i="36"/>
  <c r="I94" i="36"/>
  <c r="D94" i="36"/>
  <c r="C94" i="36"/>
  <c r="K93" i="36"/>
  <c r="J93" i="36"/>
  <c r="I93" i="36"/>
  <c r="D93" i="36"/>
  <c r="C93" i="36"/>
  <c r="K92" i="36"/>
  <c r="J92" i="36"/>
  <c r="I92" i="36"/>
  <c r="D92" i="36"/>
  <c r="C92" i="36"/>
  <c r="K91" i="36"/>
  <c r="J91" i="36"/>
  <c r="I91" i="36"/>
  <c r="D91" i="36"/>
  <c r="C91" i="36"/>
  <c r="K90" i="36"/>
  <c r="J90" i="36"/>
  <c r="I90" i="36"/>
  <c r="D90" i="36"/>
  <c r="C90" i="36"/>
  <c r="K89" i="36"/>
  <c r="J89" i="36"/>
  <c r="I89" i="36"/>
  <c r="D89" i="36"/>
  <c r="C89" i="36"/>
  <c r="K88" i="36"/>
  <c r="J88" i="36"/>
  <c r="I88" i="36"/>
  <c r="D88" i="36"/>
  <c r="C88" i="36"/>
  <c r="K87" i="36"/>
  <c r="J87" i="36"/>
  <c r="I87" i="36"/>
  <c r="D87" i="36"/>
  <c r="C87" i="36"/>
  <c r="K86" i="36"/>
  <c r="J86" i="36"/>
  <c r="I86" i="36"/>
  <c r="D86" i="36"/>
  <c r="C86" i="36"/>
  <c r="K85" i="36"/>
  <c r="J85" i="36"/>
  <c r="I85" i="36"/>
  <c r="D85" i="36"/>
  <c r="C85" i="36"/>
  <c r="K84" i="36"/>
  <c r="J84" i="36"/>
  <c r="I84" i="36"/>
  <c r="D84" i="36"/>
  <c r="C84" i="36"/>
  <c r="K83" i="36"/>
  <c r="J83" i="36"/>
  <c r="I83" i="36"/>
  <c r="D83" i="36"/>
  <c r="C83" i="36"/>
  <c r="K82" i="36"/>
  <c r="J82" i="36"/>
  <c r="I82" i="36"/>
  <c r="D82" i="36"/>
  <c r="C82" i="36"/>
  <c r="K81" i="36"/>
  <c r="J81" i="36"/>
  <c r="I81" i="36"/>
  <c r="D81" i="36"/>
  <c r="C81" i="36"/>
  <c r="K80" i="36"/>
  <c r="J80" i="36"/>
  <c r="I80" i="36"/>
  <c r="D80" i="36"/>
  <c r="C80" i="36"/>
  <c r="K79" i="36"/>
  <c r="J79" i="36"/>
  <c r="I79" i="36"/>
  <c r="D79" i="36"/>
  <c r="C79" i="36"/>
  <c r="K78" i="36"/>
  <c r="J78" i="36"/>
  <c r="I78" i="36"/>
  <c r="D78" i="36"/>
  <c r="C78" i="36"/>
  <c r="K77" i="36"/>
  <c r="J77" i="36"/>
  <c r="I77" i="36"/>
  <c r="D77" i="36"/>
  <c r="C77" i="36"/>
  <c r="A77" i="36"/>
  <c r="A78" i="36" s="1"/>
  <c r="A79" i="36" s="1"/>
  <c r="A80" i="36" s="1"/>
  <c r="A81" i="36" s="1"/>
  <c r="A82" i="36" s="1"/>
  <c r="A83" i="36" s="1"/>
  <c r="A84" i="36" s="1"/>
  <c r="A85" i="36" s="1"/>
  <c r="A86" i="36" s="1"/>
  <c r="A87" i="36" s="1"/>
  <c r="A88" i="36" s="1"/>
  <c r="A89" i="36" s="1"/>
  <c r="A90" i="36" s="1"/>
  <c r="A91" i="36" s="1"/>
  <c r="A92" i="36" s="1"/>
  <c r="A93" i="36" s="1"/>
  <c r="A94" i="36" s="1"/>
  <c r="A95" i="36" s="1"/>
  <c r="A96" i="36" s="1"/>
  <c r="A97" i="36" s="1"/>
  <c r="A98" i="36" s="1"/>
  <c r="A99" i="36" s="1"/>
  <c r="A100" i="36" s="1"/>
  <c r="A101" i="36" s="1"/>
  <c r="A102" i="36" s="1"/>
  <c r="A103" i="36" s="1"/>
  <c r="A104" i="36" s="1"/>
  <c r="A105" i="36" s="1"/>
  <c r="A106" i="36" s="1"/>
  <c r="A107" i="36" s="1"/>
  <c r="A108" i="36" s="1"/>
  <c r="A109" i="36" s="1"/>
  <c r="A110" i="36" s="1"/>
  <c r="A111" i="36" s="1"/>
  <c r="A112" i="36" s="1"/>
  <c r="A113" i="36" s="1"/>
  <c r="A114" i="36" s="1"/>
  <c r="A115" i="36" s="1"/>
  <c r="A116" i="36" s="1"/>
  <c r="A117" i="36" s="1"/>
  <c r="A118" i="36" s="1"/>
  <c r="A119" i="36" s="1"/>
  <c r="A120" i="36" s="1"/>
  <c r="A121" i="36" s="1"/>
  <c r="A122" i="36" s="1"/>
  <c r="A123" i="36" s="1"/>
  <c r="A124" i="36" s="1"/>
  <c r="A125" i="36" s="1"/>
  <c r="A126" i="36" s="1"/>
  <c r="A127" i="36" s="1"/>
  <c r="A128" i="36" s="1"/>
  <c r="A129" i="36" s="1"/>
  <c r="A130" i="36" s="1"/>
  <c r="A131" i="36" s="1"/>
  <c r="A132" i="36" s="1"/>
  <c r="A133" i="36" s="1"/>
  <c r="A134" i="36" s="1"/>
  <c r="A135" i="36" s="1"/>
  <c r="A136" i="36" s="1"/>
  <c r="A137" i="36" s="1"/>
  <c r="A138" i="36" s="1"/>
  <c r="A139" i="36" s="1"/>
  <c r="A140" i="36" s="1"/>
  <c r="A141" i="36" s="1"/>
  <c r="A142" i="36" s="1"/>
  <c r="A143" i="36" s="1"/>
  <c r="A144" i="36" s="1"/>
  <c r="A145" i="36" s="1"/>
  <c r="A146" i="36" s="1"/>
  <c r="A147" i="36" s="1"/>
  <c r="A148" i="36" s="1"/>
  <c r="A149" i="36" s="1"/>
  <c r="A150" i="36" s="1"/>
  <c r="A151" i="36" s="1"/>
  <c r="A152" i="36" s="1"/>
  <c r="A153" i="36" s="1"/>
  <c r="A154" i="36" s="1"/>
  <c r="A155" i="36" s="1"/>
  <c r="A156" i="36" s="1"/>
  <c r="A157" i="36" s="1"/>
  <c r="A158" i="36" s="1"/>
  <c r="A159" i="36" s="1"/>
  <c r="A160" i="36" s="1"/>
  <c r="A161" i="36" s="1"/>
  <c r="A162" i="36" s="1"/>
  <c r="A163" i="36" s="1"/>
  <c r="A164" i="36" s="1"/>
  <c r="A165" i="36" s="1"/>
  <c r="A166" i="36" s="1"/>
  <c r="A167" i="36" s="1"/>
  <c r="A168" i="36" s="1"/>
  <c r="A169" i="36" s="1"/>
  <c r="A170" i="36" s="1"/>
  <c r="A171" i="36" s="1"/>
  <c r="A172" i="36" s="1"/>
  <c r="A173" i="36" s="1"/>
  <c r="A174" i="36" s="1"/>
  <c r="K76" i="36"/>
  <c r="J76" i="36"/>
  <c r="I76" i="36"/>
  <c r="D76" i="36"/>
  <c r="C76" i="36"/>
  <c r="S72" i="36"/>
  <c r="R72" i="36"/>
  <c r="Q72" i="36"/>
  <c r="O72" i="36"/>
  <c r="N72" i="36"/>
  <c r="M72" i="36"/>
  <c r="F72" i="36"/>
  <c r="E72" i="36"/>
  <c r="A72" i="36"/>
  <c r="D26" i="5" s="1"/>
  <c r="S71" i="36"/>
  <c r="R71" i="36"/>
  <c r="Q71" i="36"/>
  <c r="O71" i="36"/>
  <c r="N71" i="36"/>
  <c r="M71" i="36"/>
  <c r="F68" i="36"/>
  <c r="E68" i="36"/>
  <c r="F67" i="36"/>
  <c r="E67" i="36"/>
  <c r="F66" i="36"/>
  <c r="E66" i="36"/>
  <c r="K65" i="36"/>
  <c r="J65" i="36"/>
  <c r="I65" i="36"/>
  <c r="D65" i="36"/>
  <c r="C65" i="36"/>
  <c r="K64" i="36"/>
  <c r="J64" i="36"/>
  <c r="I64" i="36"/>
  <c r="D64" i="36"/>
  <c r="C64" i="36"/>
  <c r="K63" i="36"/>
  <c r="J63" i="36"/>
  <c r="I63" i="36"/>
  <c r="D63" i="36"/>
  <c r="C63" i="36"/>
  <c r="K62" i="36"/>
  <c r="J62" i="36"/>
  <c r="I62" i="36"/>
  <c r="D62" i="36"/>
  <c r="C62" i="36"/>
  <c r="K61" i="36"/>
  <c r="J61" i="36"/>
  <c r="I61" i="36"/>
  <c r="D61" i="36"/>
  <c r="C61" i="36"/>
  <c r="K60" i="36"/>
  <c r="J60" i="36"/>
  <c r="I60" i="36"/>
  <c r="D60" i="36"/>
  <c r="C60" i="36"/>
  <c r="K59" i="36"/>
  <c r="J59" i="36"/>
  <c r="I59" i="36"/>
  <c r="D59" i="36"/>
  <c r="C59" i="36"/>
  <c r="K58" i="36"/>
  <c r="J58" i="36"/>
  <c r="I58" i="36"/>
  <c r="D58" i="36"/>
  <c r="C58" i="36"/>
  <c r="K57" i="36"/>
  <c r="J57" i="36"/>
  <c r="I57" i="36"/>
  <c r="D57" i="36"/>
  <c r="C57" i="36"/>
  <c r="K56" i="36"/>
  <c r="J56" i="36"/>
  <c r="I56" i="36"/>
  <c r="D56" i="36"/>
  <c r="C56" i="36"/>
  <c r="K55" i="36"/>
  <c r="J55" i="36"/>
  <c r="I55" i="36"/>
  <c r="D55" i="36"/>
  <c r="C55" i="36"/>
  <c r="K54" i="36"/>
  <c r="J54" i="36"/>
  <c r="I54" i="36"/>
  <c r="D54" i="36"/>
  <c r="C54" i="36"/>
  <c r="K53" i="36"/>
  <c r="J53" i="36"/>
  <c r="I53" i="36"/>
  <c r="D53" i="36"/>
  <c r="C53" i="36"/>
  <c r="K52" i="36"/>
  <c r="J52" i="36"/>
  <c r="I52" i="36"/>
  <c r="D52" i="36"/>
  <c r="C52" i="36"/>
  <c r="K51" i="36"/>
  <c r="J51" i="36"/>
  <c r="I51" i="36"/>
  <c r="D51" i="36"/>
  <c r="C51" i="36"/>
  <c r="K50" i="36"/>
  <c r="J50" i="36"/>
  <c r="I50" i="36"/>
  <c r="D50" i="36"/>
  <c r="C50" i="36"/>
  <c r="K49" i="36"/>
  <c r="J49" i="36"/>
  <c r="I49" i="36"/>
  <c r="D49" i="36"/>
  <c r="C49" i="36"/>
  <c r="K48" i="36"/>
  <c r="J48" i="36"/>
  <c r="I48" i="36"/>
  <c r="D48" i="36"/>
  <c r="C48" i="36"/>
  <c r="K47" i="36"/>
  <c r="J47" i="36"/>
  <c r="I47" i="36"/>
  <c r="D47" i="36"/>
  <c r="C47" i="36"/>
  <c r="K46" i="36"/>
  <c r="J46" i="36"/>
  <c r="I46" i="36"/>
  <c r="D46" i="36"/>
  <c r="C46" i="36"/>
  <c r="K45" i="36"/>
  <c r="J45" i="36"/>
  <c r="I45" i="36"/>
  <c r="D45" i="36"/>
  <c r="C45" i="36"/>
  <c r="K44" i="36"/>
  <c r="J44" i="36"/>
  <c r="I44" i="36"/>
  <c r="D44" i="36"/>
  <c r="C44" i="36"/>
  <c r="K43" i="36"/>
  <c r="J43" i="36"/>
  <c r="I43" i="36"/>
  <c r="D43" i="36"/>
  <c r="C43" i="36"/>
  <c r="K42" i="36"/>
  <c r="J42" i="36"/>
  <c r="I42" i="36"/>
  <c r="D42" i="36"/>
  <c r="C42" i="36"/>
  <c r="K41" i="36"/>
  <c r="J41" i="36"/>
  <c r="I41" i="36"/>
  <c r="D41" i="36"/>
  <c r="C41" i="36"/>
  <c r="K40" i="36"/>
  <c r="J40" i="36"/>
  <c r="I40" i="36"/>
  <c r="D40" i="36"/>
  <c r="C40" i="36"/>
  <c r="K39" i="36"/>
  <c r="J39" i="36"/>
  <c r="I39" i="36"/>
  <c r="D39" i="36"/>
  <c r="C39" i="36"/>
  <c r="K38" i="36"/>
  <c r="J38" i="36"/>
  <c r="I38" i="36"/>
  <c r="D38" i="36"/>
  <c r="C38" i="36"/>
  <c r="K37" i="36"/>
  <c r="J37" i="36"/>
  <c r="I37" i="36"/>
  <c r="D37" i="36"/>
  <c r="C37" i="36"/>
  <c r="K36" i="36"/>
  <c r="J36" i="36"/>
  <c r="I36" i="36"/>
  <c r="D36" i="36"/>
  <c r="C36" i="36"/>
  <c r="K35" i="36"/>
  <c r="J35" i="36"/>
  <c r="I35" i="36"/>
  <c r="D35" i="36"/>
  <c r="C35" i="36"/>
  <c r="K34" i="36"/>
  <c r="J34" i="36"/>
  <c r="I34" i="36"/>
  <c r="D34" i="36"/>
  <c r="C34" i="36"/>
  <c r="K33" i="36"/>
  <c r="J33" i="36"/>
  <c r="I33" i="36"/>
  <c r="D33" i="36"/>
  <c r="C33" i="36"/>
  <c r="K32" i="36"/>
  <c r="J32" i="36"/>
  <c r="I32" i="36"/>
  <c r="D32" i="36"/>
  <c r="C32" i="36"/>
  <c r="K31" i="36"/>
  <c r="J31" i="36"/>
  <c r="I31" i="36"/>
  <c r="D31" i="36"/>
  <c r="C31" i="36"/>
  <c r="K30" i="36"/>
  <c r="J30" i="36"/>
  <c r="I30" i="36"/>
  <c r="D30" i="36"/>
  <c r="C30" i="36"/>
  <c r="K29" i="36"/>
  <c r="J29" i="36"/>
  <c r="I29" i="36"/>
  <c r="D29" i="36"/>
  <c r="C29" i="36"/>
  <c r="A29" i="36"/>
  <c r="A30" i="36" s="1"/>
  <c r="A31" i="36" s="1"/>
  <c r="A32" i="36" s="1"/>
  <c r="A33" i="36" s="1"/>
  <c r="A34" i="36" s="1"/>
  <c r="A35" i="36" s="1"/>
  <c r="A36" i="36" s="1"/>
  <c r="A37" i="36" s="1"/>
  <c r="A38" i="36" s="1"/>
  <c r="A39" i="36" s="1"/>
  <c r="A40" i="36" s="1"/>
  <c r="A41" i="36" s="1"/>
  <c r="A42" i="36" s="1"/>
  <c r="A43" i="36" s="1"/>
  <c r="A44" i="36" s="1"/>
  <c r="A45" i="36" s="1"/>
  <c r="A46" i="36" s="1"/>
  <c r="A47" i="36" s="1"/>
  <c r="A48" i="36" s="1"/>
  <c r="A49" i="36" s="1"/>
  <c r="A50" i="36" s="1"/>
  <c r="A51" i="36" s="1"/>
  <c r="A52" i="36" s="1"/>
  <c r="A53" i="36" s="1"/>
  <c r="A54" i="36" s="1"/>
  <c r="A55" i="36" s="1"/>
  <c r="A56" i="36" s="1"/>
  <c r="A57" i="36" s="1"/>
  <c r="A58" i="36" s="1"/>
  <c r="A59" i="36" s="1"/>
  <c r="A60" i="36" s="1"/>
  <c r="A61" i="36" s="1"/>
  <c r="A62" i="36" s="1"/>
  <c r="A63" i="36" s="1"/>
  <c r="A64" i="36" s="1"/>
  <c r="A65" i="36" s="1"/>
  <c r="A66" i="36" s="1"/>
  <c r="A67" i="36" s="1"/>
  <c r="A68" i="36" s="1"/>
  <c r="K28" i="36"/>
  <c r="J28" i="36"/>
  <c r="I28" i="36"/>
  <c r="D28" i="36"/>
  <c r="C28" i="36"/>
  <c r="A24" i="36"/>
  <c r="D18" i="5" s="1"/>
  <c r="S23" i="36"/>
  <c r="R23" i="36"/>
  <c r="Q23" i="36"/>
  <c r="O23" i="36"/>
  <c r="N23" i="36"/>
  <c r="M23" i="36"/>
  <c r="F21" i="36"/>
  <c r="E21" i="36"/>
  <c r="F20" i="36"/>
  <c r="E20" i="36"/>
  <c r="F19" i="36"/>
  <c r="E19" i="36"/>
  <c r="K17" i="36"/>
  <c r="K23" i="36" s="1"/>
  <c r="J17" i="36"/>
  <c r="J23" i="36" s="1"/>
  <c r="I17" i="36"/>
  <c r="I23" i="36" s="1"/>
  <c r="D17" i="36"/>
  <c r="C17" i="36"/>
  <c r="C23" i="36" s="1"/>
  <c r="B21" i="7"/>
  <c r="B11" i="7"/>
  <c r="G10" i="5"/>
  <c r="E10" i="5"/>
  <c r="O8" i="13"/>
  <c r="C9" i="7"/>
  <c r="D12" i="9"/>
  <c r="E17" i="2"/>
  <c r="A91" i="34"/>
  <c r="M54" i="11"/>
  <c r="I12" i="6"/>
  <c r="G12" i="6"/>
  <c r="I10" i="5"/>
  <c r="O159" i="13"/>
  <c r="M159" i="13"/>
  <c r="O158" i="13"/>
  <c r="M158" i="13"/>
  <c r="O157" i="13"/>
  <c r="M157" i="13"/>
  <c r="O156" i="13"/>
  <c r="M156" i="13"/>
  <c r="O155" i="13"/>
  <c r="M155" i="13"/>
  <c r="O154" i="13"/>
  <c r="M154" i="13"/>
  <c r="O153" i="13"/>
  <c r="M153" i="13"/>
  <c r="O152" i="13"/>
  <c r="M152" i="13"/>
  <c r="O151" i="13"/>
  <c r="M151" i="13"/>
  <c r="O150" i="13"/>
  <c r="M150" i="13"/>
  <c r="O149" i="13"/>
  <c r="M149" i="13"/>
  <c r="O148" i="13"/>
  <c r="M148" i="13"/>
  <c r="O147" i="13"/>
  <c r="M147" i="13"/>
  <c r="O146" i="13"/>
  <c r="M146" i="13"/>
  <c r="O145" i="13"/>
  <c r="M145" i="13"/>
  <c r="O144" i="13"/>
  <c r="M144" i="13"/>
  <c r="O143" i="13"/>
  <c r="M143" i="13"/>
  <c r="O142" i="13"/>
  <c r="M142" i="13"/>
  <c r="O141" i="13"/>
  <c r="M141" i="13"/>
  <c r="O140" i="13"/>
  <c r="M140" i="13"/>
  <c r="O139" i="13"/>
  <c r="M139" i="13"/>
  <c r="O138" i="13"/>
  <c r="M138" i="13"/>
  <c r="O137" i="13"/>
  <c r="M137" i="13"/>
  <c r="O136" i="13"/>
  <c r="M136" i="13"/>
  <c r="O135" i="13"/>
  <c r="M135" i="13"/>
  <c r="O134" i="13"/>
  <c r="M134" i="13"/>
  <c r="O133" i="13"/>
  <c r="M133" i="13"/>
  <c r="O132" i="13"/>
  <c r="M132" i="13"/>
  <c r="O131" i="13"/>
  <c r="M131" i="13"/>
  <c r="O130" i="13"/>
  <c r="M130" i="13"/>
  <c r="O129" i="13"/>
  <c r="M129" i="13"/>
  <c r="O128" i="13"/>
  <c r="M128" i="13"/>
  <c r="O127" i="13"/>
  <c r="M127" i="13"/>
  <c r="O126" i="13"/>
  <c r="M126" i="13"/>
  <c r="O125" i="13"/>
  <c r="M125" i="13"/>
  <c r="O124" i="13"/>
  <c r="M124" i="13"/>
  <c r="O123" i="13"/>
  <c r="M123" i="13"/>
  <c r="O122" i="13"/>
  <c r="M122" i="13"/>
  <c r="O121" i="13"/>
  <c r="M121" i="13"/>
  <c r="O120" i="13"/>
  <c r="M120" i="13"/>
  <c r="O119" i="13"/>
  <c r="M119" i="13"/>
  <c r="O118" i="13"/>
  <c r="M118" i="13"/>
  <c r="O117" i="13"/>
  <c r="M117" i="13"/>
  <c r="O116" i="13"/>
  <c r="M116" i="13"/>
  <c r="O115" i="13"/>
  <c r="M115" i="13"/>
  <c r="O114" i="13"/>
  <c r="M114" i="13"/>
  <c r="O113" i="13"/>
  <c r="M113" i="13"/>
  <c r="O112" i="13"/>
  <c r="M112" i="13"/>
  <c r="O111" i="13"/>
  <c r="M111" i="13"/>
  <c r="O110" i="13"/>
  <c r="M110" i="13"/>
  <c r="O109" i="13"/>
  <c r="M109" i="13"/>
  <c r="O108" i="13"/>
  <c r="M108" i="13"/>
  <c r="O107" i="13"/>
  <c r="M107" i="13"/>
  <c r="O106" i="13"/>
  <c r="M106" i="13"/>
  <c r="O105" i="13"/>
  <c r="M105" i="13"/>
  <c r="O104" i="13"/>
  <c r="M104" i="13"/>
  <c r="O103" i="13"/>
  <c r="M103" i="13"/>
  <c r="O102" i="13"/>
  <c r="M102" i="13"/>
  <c r="C101" i="13"/>
  <c r="C102" i="13"/>
  <c r="C103" i="13"/>
  <c r="C104" i="13"/>
  <c r="C105" i="13"/>
  <c r="C106" i="13"/>
  <c r="C107" i="13"/>
  <c r="C108" i="13"/>
  <c r="C109" i="13"/>
  <c r="C110" i="13"/>
  <c r="C111" i="13"/>
  <c r="C112" i="13"/>
  <c r="C113" i="13"/>
  <c r="C114" i="13"/>
  <c r="C115" i="13"/>
  <c r="C116" i="13"/>
  <c r="C117" i="13"/>
  <c r="C118" i="13"/>
  <c r="C119" i="13"/>
  <c r="C120" i="13"/>
  <c r="C121" i="13"/>
  <c r="C122" i="13"/>
  <c r="C123" i="13"/>
  <c r="C124" i="13"/>
  <c r="C125" i="13"/>
  <c r="C126" i="13"/>
  <c r="C127" i="13"/>
  <c r="C128" i="13"/>
  <c r="C129" i="13"/>
  <c r="D100" i="13"/>
  <c r="C100" i="13"/>
  <c r="L95" i="13"/>
  <c r="J94" i="13"/>
  <c r="D101" i="20"/>
  <c r="C101" i="20"/>
  <c r="C102" i="20" s="1"/>
  <c r="C103" i="20" s="1"/>
  <c r="C104" i="20" s="1"/>
  <c r="C105" i="20" s="1"/>
  <c r="C106" i="20" s="1"/>
  <c r="C107" i="20" s="1"/>
  <c r="C108" i="20" s="1"/>
  <c r="C109" i="20" s="1"/>
  <c r="C110" i="20" s="1"/>
  <c r="C111" i="20" s="1"/>
  <c r="C112" i="20" s="1"/>
  <c r="C113" i="20" s="1"/>
  <c r="C114" i="20" s="1"/>
  <c r="C115" i="20" s="1"/>
  <c r="C116" i="20" s="1"/>
  <c r="C117" i="20" s="1"/>
  <c r="C118" i="20" s="1"/>
  <c r="C119" i="20" s="1"/>
  <c r="C120" i="20" s="1"/>
  <c r="C121" i="20" s="1"/>
  <c r="C122" i="20" s="1"/>
  <c r="C123" i="20" s="1"/>
  <c r="C124" i="20" s="1"/>
  <c r="C125" i="20" s="1"/>
  <c r="C126" i="20" s="1"/>
  <c r="C127" i="20" s="1"/>
  <c r="C128" i="20" s="1"/>
  <c r="C129" i="20" s="1"/>
  <c r="C130" i="20" s="1"/>
  <c r="C131" i="20" s="1"/>
  <c r="C132" i="20" s="1"/>
  <c r="C133" i="20" s="1"/>
  <c r="C134" i="20" s="1"/>
  <c r="C135" i="20" s="1"/>
  <c r="C136" i="20" s="1"/>
  <c r="C137" i="20" s="1"/>
  <c r="C138" i="20" s="1"/>
  <c r="C139" i="20" s="1"/>
  <c r="C140" i="20" s="1"/>
  <c r="C141" i="20" s="1"/>
  <c r="C142" i="20" s="1"/>
  <c r="C143" i="20" s="1"/>
  <c r="C144" i="20" s="1"/>
  <c r="C145" i="20" s="1"/>
  <c r="C146" i="20" s="1"/>
  <c r="C147" i="20" s="1"/>
  <c r="C148" i="20" s="1"/>
  <c r="C149" i="20" s="1"/>
  <c r="C150" i="20" s="1"/>
  <c r="C151" i="20" s="1"/>
  <c r="C152" i="20" s="1"/>
  <c r="C153" i="20" s="1"/>
  <c r="C154" i="20" s="1"/>
  <c r="C155" i="20" s="1"/>
  <c r="C156" i="20" s="1"/>
  <c r="C157" i="20" s="1"/>
  <c r="C158" i="20" s="1"/>
  <c r="C159" i="20" s="1"/>
  <c r="C160" i="20" s="1"/>
  <c r="K96" i="20"/>
  <c r="I95" i="20"/>
  <c r="D313" i="2"/>
  <c r="M23" i="13"/>
  <c r="C60" i="20"/>
  <c r="A4" i="34"/>
  <c r="C47" i="13"/>
  <c r="C47" i="20"/>
  <c r="D62" i="6"/>
  <c r="B60" i="6" s="1"/>
  <c r="D38" i="6"/>
  <c r="B36" i="6" s="1"/>
  <c r="C31" i="6"/>
  <c r="C32" i="6"/>
  <c r="L17" i="2"/>
  <c r="A4" i="21"/>
  <c r="B4" i="14"/>
  <c r="A4" i="13"/>
  <c r="A4" i="20"/>
  <c r="F16" i="13"/>
  <c r="F18" i="13" s="1"/>
  <c r="E23" i="13" s="1"/>
  <c r="F16" i="20"/>
  <c r="F18" i="20" s="1"/>
  <c r="E23" i="20" s="1"/>
  <c r="A4" i="12"/>
  <c r="A4" i="31"/>
  <c r="A4" i="11"/>
  <c r="A4" i="10"/>
  <c r="A4" i="9"/>
  <c r="A4" i="8"/>
  <c r="A4" i="7"/>
  <c r="A4" i="6"/>
  <c r="E12" i="6"/>
  <c r="A4" i="5"/>
  <c r="J157" i="2"/>
  <c r="L157" i="2" s="1"/>
  <c r="G48" i="20" s="1"/>
  <c r="F7" i="2"/>
  <c r="F53" i="2" s="1"/>
  <c r="F123" i="2" s="1"/>
  <c r="F204" i="2" s="1"/>
  <c r="F275" i="2" s="1"/>
  <c r="C112" i="34"/>
  <c r="J24" i="34"/>
  <c r="E198" i="34"/>
  <c r="E186" i="34"/>
  <c r="G81" i="6"/>
  <c r="G32" i="6" s="1"/>
  <c r="G51" i="5"/>
  <c r="A17" i="11"/>
  <c r="A19" i="11" s="1"/>
  <c r="A20" i="11" s="1"/>
  <c r="A21" i="11" s="1"/>
  <c r="A22" i="11" s="1"/>
  <c r="A23" i="11" s="1"/>
  <c r="A25" i="11" s="1"/>
  <c r="A26" i="11" s="1"/>
  <c r="A27" i="11" s="1"/>
  <c r="A28" i="11" s="1"/>
  <c r="A30" i="11" s="1"/>
  <c r="A31" i="11" s="1"/>
  <c r="A33" i="11" s="1"/>
  <c r="A34" i="11" s="1"/>
  <c r="A35" i="11" s="1"/>
  <c r="A36" i="11" s="1"/>
  <c r="A37" i="11" s="1"/>
  <c r="A38" i="11" s="1"/>
  <c r="A39" i="11" s="1"/>
  <c r="A40" i="11" s="1"/>
  <c r="A41" i="11" s="1"/>
  <c r="A43" i="11" s="1"/>
  <c r="E51" i="11"/>
  <c r="I51" i="11"/>
  <c r="I61" i="11" s="1"/>
  <c r="I63" i="11" s="1"/>
  <c r="I65" i="11" s="1"/>
  <c r="E66" i="11"/>
  <c r="E56" i="11"/>
  <c r="I66" i="11"/>
  <c r="I56" i="11"/>
  <c r="C50" i="11"/>
  <c r="M41" i="11"/>
  <c r="C31" i="34"/>
  <c r="C37" i="34"/>
  <c r="C38" i="34" s="1"/>
  <c r="C43" i="34"/>
  <c r="C49" i="34"/>
  <c r="E31" i="34"/>
  <c r="E32" i="34" s="1"/>
  <c r="E37" i="34"/>
  <c r="E38" i="34" s="1"/>
  <c r="E43" i="34"/>
  <c r="E44" i="34" s="1"/>
  <c r="E49" i="34"/>
  <c r="E50" i="34" s="1"/>
  <c r="F31" i="34"/>
  <c r="F32" i="34" s="1"/>
  <c r="F37" i="34"/>
  <c r="F38" i="34" s="1"/>
  <c r="F43" i="34"/>
  <c r="F44" i="34" s="1"/>
  <c r="F49" i="34"/>
  <c r="F50" i="34" s="1"/>
  <c r="G31" i="34"/>
  <c r="G32" i="34" s="1"/>
  <c r="G37" i="34"/>
  <c r="G43" i="34"/>
  <c r="G44" i="34" s="1"/>
  <c r="G49" i="34"/>
  <c r="G50" i="34" s="1"/>
  <c r="H31" i="34"/>
  <c r="H37" i="34"/>
  <c r="H38" i="34" s="1"/>
  <c r="H43" i="34"/>
  <c r="H44" i="34" s="1"/>
  <c r="H49" i="34"/>
  <c r="H50" i="34" s="1"/>
  <c r="I31" i="34"/>
  <c r="I32" i="34" s="1"/>
  <c r="I37" i="34"/>
  <c r="I43" i="34"/>
  <c r="I44" i="34" s="1"/>
  <c r="I49" i="34"/>
  <c r="I50" i="34" s="1"/>
  <c r="F11" i="10"/>
  <c r="F15" i="10"/>
  <c r="F19" i="10"/>
  <c r="F23" i="10"/>
  <c r="F27" i="10"/>
  <c r="C14" i="34"/>
  <c r="C63" i="34" s="1"/>
  <c r="J10" i="34"/>
  <c r="J9" i="34"/>
  <c r="J11" i="34"/>
  <c r="J13" i="34"/>
  <c r="J56" i="34"/>
  <c r="J58" i="34"/>
  <c r="J59" i="34"/>
  <c r="F14" i="34"/>
  <c r="G14" i="34"/>
  <c r="G63" i="34" s="1"/>
  <c r="H14" i="34"/>
  <c r="H63" i="34" s="1"/>
  <c r="I14" i="34"/>
  <c r="J19" i="34"/>
  <c r="J20" i="34"/>
  <c r="J21" i="34"/>
  <c r="J22" i="34"/>
  <c r="J23" i="34"/>
  <c r="D21" i="9"/>
  <c r="G139" i="2" s="1"/>
  <c r="G57" i="6"/>
  <c r="G31" i="6" s="1"/>
  <c r="C21" i="7"/>
  <c r="G116" i="2" s="1"/>
  <c r="L116" i="2" s="1"/>
  <c r="O17" i="21"/>
  <c r="O22" i="21"/>
  <c r="O27" i="21"/>
  <c r="A10" i="34"/>
  <c r="A11" i="34" s="1"/>
  <c r="A12" i="34" s="1"/>
  <c r="A13" i="34" s="1"/>
  <c r="A14" i="34" s="1"/>
  <c r="A19" i="9"/>
  <c r="A20" i="9" s="1"/>
  <c r="A21" i="9" s="1"/>
  <c r="E139" i="2" s="1"/>
  <c r="F118" i="34"/>
  <c r="F124" i="34"/>
  <c r="F125" i="34" s="1"/>
  <c r="F130" i="34"/>
  <c r="F131" i="34" s="1"/>
  <c r="F136" i="34"/>
  <c r="F137" i="34" s="1"/>
  <c r="F183" i="34"/>
  <c r="F184" i="34"/>
  <c r="F185" i="34"/>
  <c r="F186" i="34"/>
  <c r="F187" i="34"/>
  <c r="F206" i="34"/>
  <c r="F208" i="34"/>
  <c r="F209" i="34"/>
  <c r="F193" i="34"/>
  <c r="F194" i="34"/>
  <c r="F195" i="34"/>
  <c r="F196" i="34"/>
  <c r="F197" i="34"/>
  <c r="F198" i="34"/>
  <c r="E118" i="34"/>
  <c r="E119" i="34" s="1"/>
  <c r="E124" i="34"/>
  <c r="E130" i="34"/>
  <c r="E131" i="34" s="1"/>
  <c r="E136" i="34"/>
  <c r="E137" i="34" s="1"/>
  <c r="G118" i="34"/>
  <c r="G124" i="34"/>
  <c r="G125" i="34" s="1"/>
  <c r="G130" i="34"/>
  <c r="G131" i="34" s="1"/>
  <c r="G136" i="34"/>
  <c r="G137" i="34" s="1"/>
  <c r="H118" i="34"/>
  <c r="H119" i="34" s="1"/>
  <c r="H124" i="34"/>
  <c r="H125" i="34" s="1"/>
  <c r="H130" i="34"/>
  <c r="H136" i="34"/>
  <c r="H137" i="34" s="1"/>
  <c r="I118" i="34"/>
  <c r="I119" i="34" s="1"/>
  <c r="I124" i="34"/>
  <c r="I125" i="34" s="1"/>
  <c r="I130" i="34"/>
  <c r="I136" i="34"/>
  <c r="I137" i="34" s="1"/>
  <c r="C118" i="34"/>
  <c r="C119" i="34" s="1"/>
  <c r="C124" i="34"/>
  <c r="C125" i="34" s="1"/>
  <c r="C130" i="34"/>
  <c r="C131" i="34" s="1"/>
  <c r="C136" i="34"/>
  <c r="A201" i="34"/>
  <c r="E194" i="34"/>
  <c r="G194" i="34"/>
  <c r="H194" i="34"/>
  <c r="I194" i="34"/>
  <c r="E195" i="34"/>
  <c r="G195" i="34"/>
  <c r="H195" i="34"/>
  <c r="I195" i="34"/>
  <c r="E196" i="34"/>
  <c r="G196" i="34"/>
  <c r="H196" i="34"/>
  <c r="I196" i="34"/>
  <c r="E197" i="34"/>
  <c r="G197" i="34"/>
  <c r="H197" i="34"/>
  <c r="I197" i="34"/>
  <c r="G198" i="34"/>
  <c r="H198" i="34"/>
  <c r="I198" i="34"/>
  <c r="E193" i="34"/>
  <c r="G193" i="34"/>
  <c r="H193" i="34"/>
  <c r="I193" i="34"/>
  <c r="C197" i="34"/>
  <c r="C195" i="34"/>
  <c r="C196" i="34"/>
  <c r="C194" i="34"/>
  <c r="C193" i="34"/>
  <c r="B199" i="34"/>
  <c r="B196" i="34"/>
  <c r="B197" i="34"/>
  <c r="B198" i="34"/>
  <c r="B194" i="34"/>
  <c r="B195" i="34"/>
  <c r="A192" i="34"/>
  <c r="B193" i="34"/>
  <c r="B3" i="32"/>
  <c r="A13" i="10"/>
  <c r="A17" i="10" s="1"/>
  <c r="A21" i="10" s="1"/>
  <c r="A25" i="10" s="1"/>
  <c r="C183" i="34"/>
  <c r="E183" i="34"/>
  <c r="G183" i="34"/>
  <c r="H183" i="34"/>
  <c r="I183" i="34"/>
  <c r="C184" i="34"/>
  <c r="J184" i="34" s="1"/>
  <c r="E184" i="34"/>
  <c r="G184" i="34"/>
  <c r="H184" i="34"/>
  <c r="I184" i="34"/>
  <c r="C185" i="34"/>
  <c r="J185" i="34" s="1"/>
  <c r="E185" i="34"/>
  <c r="G185" i="34"/>
  <c r="H185" i="34"/>
  <c r="I185" i="34"/>
  <c r="C186" i="34"/>
  <c r="J186" i="34" s="1"/>
  <c r="G186" i="34"/>
  <c r="H186" i="34"/>
  <c r="I186" i="34"/>
  <c r="C187" i="34"/>
  <c r="J187" i="34" s="1"/>
  <c r="E187" i="34"/>
  <c r="G187" i="34"/>
  <c r="H187" i="34"/>
  <c r="I187" i="34"/>
  <c r="C206" i="34"/>
  <c r="J206" i="34" s="1"/>
  <c r="L260" i="2" s="1"/>
  <c r="E206" i="34"/>
  <c r="G206" i="34"/>
  <c r="H206" i="34"/>
  <c r="I206" i="34"/>
  <c r="C208" i="34"/>
  <c r="J208" i="34" s="1"/>
  <c r="L262" i="2" s="1"/>
  <c r="E208" i="34"/>
  <c r="G208" i="34"/>
  <c r="H208" i="34"/>
  <c r="I208" i="34"/>
  <c r="C209" i="34"/>
  <c r="J209" i="34" s="1"/>
  <c r="L263" i="2" s="1"/>
  <c r="E209" i="34"/>
  <c r="G209" i="34"/>
  <c r="H209" i="34"/>
  <c r="I209" i="34"/>
  <c r="J96" i="34"/>
  <c r="J97" i="34"/>
  <c r="J98" i="34"/>
  <c r="J99" i="34"/>
  <c r="J100" i="34"/>
  <c r="J143" i="34"/>
  <c r="J145" i="34"/>
  <c r="J146" i="34"/>
  <c r="A6" i="12"/>
  <c r="F25" i="34"/>
  <c r="G25" i="34"/>
  <c r="H25" i="34"/>
  <c r="I25" i="34"/>
  <c r="C101" i="34"/>
  <c r="C150" i="34" s="1"/>
  <c r="E101" i="34"/>
  <c r="E150" i="34" s="1"/>
  <c r="F101" i="34"/>
  <c r="F150" i="34" s="1"/>
  <c r="G101" i="34"/>
  <c r="G150" i="34" s="1"/>
  <c r="H101" i="34"/>
  <c r="H150" i="34" s="1"/>
  <c r="I101" i="34"/>
  <c r="I150" i="34" s="1"/>
  <c r="J106" i="34"/>
  <c r="J107" i="34"/>
  <c r="J108" i="34"/>
  <c r="J109" i="34"/>
  <c r="J110" i="34"/>
  <c r="J111" i="34"/>
  <c r="E112" i="34"/>
  <c r="F112" i="34"/>
  <c r="G112" i="34"/>
  <c r="H112" i="34"/>
  <c r="I112" i="34"/>
  <c r="O3" i="21"/>
  <c r="N3" i="21"/>
  <c r="M3" i="21"/>
  <c r="L3" i="21"/>
  <c r="K3" i="21"/>
  <c r="J3" i="21"/>
  <c r="I3" i="21"/>
  <c r="H3" i="21"/>
  <c r="G3" i="21"/>
  <c r="F3" i="21"/>
  <c r="E3" i="21"/>
  <c r="D3" i="21"/>
  <c r="C3" i="21"/>
  <c r="B3" i="21"/>
  <c r="A3" i="21"/>
  <c r="E3" i="14"/>
  <c r="D3" i="14"/>
  <c r="C3" i="14"/>
  <c r="B3" i="14"/>
  <c r="P3" i="13"/>
  <c r="O3" i="13"/>
  <c r="N3" i="13"/>
  <c r="M3" i="13"/>
  <c r="L3" i="13"/>
  <c r="K3" i="13"/>
  <c r="J3" i="13"/>
  <c r="I3" i="13"/>
  <c r="H3" i="13"/>
  <c r="G3" i="13"/>
  <c r="F3" i="13"/>
  <c r="E3" i="13"/>
  <c r="D3" i="13"/>
  <c r="C3" i="13"/>
  <c r="B3" i="13"/>
  <c r="A3" i="13"/>
  <c r="O3" i="20"/>
  <c r="N3" i="20"/>
  <c r="M3" i="20"/>
  <c r="L3" i="20"/>
  <c r="K3" i="20"/>
  <c r="J3" i="20"/>
  <c r="I3" i="20"/>
  <c r="H3" i="20"/>
  <c r="G3" i="20"/>
  <c r="F3" i="20"/>
  <c r="E3" i="20"/>
  <c r="D3" i="20"/>
  <c r="C3" i="20"/>
  <c r="B3" i="20"/>
  <c r="A3" i="20"/>
  <c r="J3" i="12"/>
  <c r="I3" i="12"/>
  <c r="H3" i="12"/>
  <c r="G3" i="12"/>
  <c r="F3" i="12"/>
  <c r="E3" i="12"/>
  <c r="D3" i="12"/>
  <c r="C3" i="12"/>
  <c r="B3" i="12"/>
  <c r="A3" i="12"/>
  <c r="E3" i="31"/>
  <c r="D3" i="31"/>
  <c r="C3" i="31"/>
  <c r="B3" i="31"/>
  <c r="A3" i="31"/>
  <c r="M3" i="11"/>
  <c r="L3" i="11"/>
  <c r="K3" i="11"/>
  <c r="J3" i="11"/>
  <c r="I3" i="11"/>
  <c r="H3" i="11"/>
  <c r="G3" i="11"/>
  <c r="F3" i="11"/>
  <c r="E3" i="11"/>
  <c r="D3" i="11"/>
  <c r="C3" i="11"/>
  <c r="B3" i="11"/>
  <c r="A3" i="11"/>
  <c r="H3" i="10"/>
  <c r="G3" i="10"/>
  <c r="F3" i="10"/>
  <c r="E3" i="10"/>
  <c r="D3" i="10"/>
  <c r="C3" i="10"/>
  <c r="B3" i="10"/>
  <c r="A3" i="10"/>
  <c r="G3" i="9"/>
  <c r="F3" i="9"/>
  <c r="E3" i="9"/>
  <c r="D3" i="9"/>
  <c r="C3" i="9"/>
  <c r="B3" i="9"/>
  <c r="A3" i="9"/>
  <c r="K3" i="8"/>
  <c r="J3" i="8"/>
  <c r="I3" i="8"/>
  <c r="H3" i="8"/>
  <c r="G3" i="8"/>
  <c r="F3" i="8"/>
  <c r="E3" i="8"/>
  <c r="D3" i="8"/>
  <c r="C3" i="8"/>
  <c r="B3" i="8"/>
  <c r="A3" i="8"/>
  <c r="E3" i="7"/>
  <c r="D3" i="7"/>
  <c r="C3" i="7"/>
  <c r="B3" i="7"/>
  <c r="A3" i="7"/>
  <c r="L3" i="6"/>
  <c r="K3" i="6"/>
  <c r="J3" i="6"/>
  <c r="I3" i="6"/>
  <c r="H3" i="6"/>
  <c r="G3" i="6"/>
  <c r="F3" i="6"/>
  <c r="E3" i="6"/>
  <c r="D3" i="6"/>
  <c r="C3" i="6"/>
  <c r="B3" i="6"/>
  <c r="A3" i="6"/>
  <c r="I3" i="5"/>
  <c r="H3" i="5"/>
  <c r="G3" i="5"/>
  <c r="F3" i="5"/>
  <c r="E3" i="5"/>
  <c r="D3" i="5"/>
  <c r="C3" i="5"/>
  <c r="B3" i="5"/>
  <c r="A3" i="5"/>
  <c r="I21" i="6"/>
  <c r="G108" i="2" s="1"/>
  <c r="I23" i="6"/>
  <c r="G109" i="2" s="1"/>
  <c r="I52" i="5"/>
  <c r="L95" i="2" s="1"/>
  <c r="G193" i="2"/>
  <c r="L193" i="2" s="1"/>
  <c r="E51" i="5"/>
  <c r="A14" i="31"/>
  <c r="A22" i="31" s="1"/>
  <c r="I49" i="5"/>
  <c r="I50" i="5"/>
  <c r="C60" i="13"/>
  <c r="K33" i="21"/>
  <c r="A22" i="21"/>
  <c r="A27" i="21" s="1"/>
  <c r="A33" i="21" s="1"/>
  <c r="D195" i="2" s="1"/>
  <c r="A6" i="21"/>
  <c r="M20" i="13"/>
  <c r="L26" i="20"/>
  <c r="I94" i="20" s="1"/>
  <c r="N8" i="20"/>
  <c r="O8" i="20"/>
  <c r="C11" i="20"/>
  <c r="C14" i="20"/>
  <c r="C18" i="20"/>
  <c r="C26" i="20"/>
  <c r="C32" i="20"/>
  <c r="C42" i="20"/>
  <c r="C43" i="20"/>
  <c r="C53" i="20"/>
  <c r="C55" i="20"/>
  <c r="C58" i="20"/>
  <c r="C62" i="20"/>
  <c r="C65" i="20"/>
  <c r="C66" i="20"/>
  <c r="C68" i="20"/>
  <c r="C69" i="20"/>
  <c r="C71" i="20"/>
  <c r="N82" i="20"/>
  <c r="O82" i="20"/>
  <c r="P8" i="13"/>
  <c r="C11" i="13"/>
  <c r="C14" i="13"/>
  <c r="C18" i="13"/>
  <c r="C26" i="13"/>
  <c r="C32" i="13"/>
  <c r="C42" i="13"/>
  <c r="C43" i="13"/>
  <c r="C53" i="13"/>
  <c r="C55" i="13"/>
  <c r="C58" i="13"/>
  <c r="C62" i="13"/>
  <c r="C65" i="13"/>
  <c r="C66" i="13"/>
  <c r="C68" i="13"/>
  <c r="C69" i="13"/>
  <c r="C71" i="13"/>
  <c r="O81" i="13"/>
  <c r="P81" i="13"/>
  <c r="E53" i="9"/>
  <c r="E54" i="9"/>
  <c r="E55" i="9"/>
  <c r="E56" i="9"/>
  <c r="E57" i="9"/>
  <c r="E58" i="9"/>
  <c r="E59" i="9"/>
  <c r="E60" i="9"/>
  <c r="E61" i="9"/>
  <c r="E62" i="9"/>
  <c r="J13" i="8"/>
  <c r="A15" i="8"/>
  <c r="A17" i="8" s="1"/>
  <c r="J15" i="8"/>
  <c r="A27" i="8"/>
  <c r="A29" i="8" s="1"/>
  <c r="A31" i="8" s="1"/>
  <c r="E15" i="2" s="1"/>
  <c r="J19" i="8"/>
  <c r="J29" i="8"/>
  <c r="A15" i="7"/>
  <c r="A17" i="7" s="1"/>
  <c r="A18" i="7" s="1"/>
  <c r="A19" i="7" s="1"/>
  <c r="A21" i="7" s="1"/>
  <c r="A17" i="6"/>
  <c r="E106" i="2" s="1"/>
  <c r="A17" i="5"/>
  <c r="A18" i="5" s="1"/>
  <c r="A19" i="5" s="1"/>
  <c r="A20" i="5" s="1"/>
  <c r="F51" i="2"/>
  <c r="F121" i="2" s="1"/>
  <c r="F202" i="2" s="1"/>
  <c r="F273" i="2" s="1"/>
  <c r="F52" i="2"/>
  <c r="F122" i="2" s="1"/>
  <c r="F203" i="2" s="1"/>
  <c r="F274" i="2" s="1"/>
  <c r="F55" i="2"/>
  <c r="F125" i="2" s="1"/>
  <c r="F206" i="2" s="1"/>
  <c r="F277" i="2" s="1"/>
  <c r="B61" i="2"/>
  <c r="B131" i="2" s="1"/>
  <c r="B62" i="2"/>
  <c r="B132" i="2" s="1"/>
  <c r="D73" i="2"/>
  <c r="D83" i="2" s="1"/>
  <c r="D75" i="2"/>
  <c r="D84" i="2" s="1"/>
  <c r="D77" i="2"/>
  <c r="D85" i="2" s="1"/>
  <c r="E129" i="2"/>
  <c r="L129" i="2"/>
  <c r="E130" i="2"/>
  <c r="G130" i="2"/>
  <c r="I130" i="2"/>
  <c r="L130" i="2"/>
  <c r="D161" i="2"/>
  <c r="B15" i="2"/>
  <c r="E25" i="34"/>
  <c r="E14" i="34"/>
  <c r="J12" i="34"/>
  <c r="C25" i="34"/>
  <c r="C198" i="34"/>
  <c r="L87" i="13"/>
  <c r="C130" i="13"/>
  <c r="C131" i="13"/>
  <c r="C132" i="13"/>
  <c r="C133" i="13"/>
  <c r="C134" i="13"/>
  <c r="C135" i="13"/>
  <c r="C136" i="13"/>
  <c r="C137" i="13"/>
  <c r="C138" i="13"/>
  <c r="C139" i="13"/>
  <c r="C140" i="13"/>
  <c r="C141" i="13"/>
  <c r="C142" i="13"/>
  <c r="C143" i="13"/>
  <c r="C144" i="13"/>
  <c r="C145" i="13"/>
  <c r="C146" i="13"/>
  <c r="C147" i="13"/>
  <c r="C148" i="13"/>
  <c r="C149" i="13"/>
  <c r="C150" i="13"/>
  <c r="C151" i="13"/>
  <c r="C152" i="13"/>
  <c r="C153" i="13"/>
  <c r="C154" i="13"/>
  <c r="C155" i="13"/>
  <c r="C156" i="13"/>
  <c r="C157" i="13"/>
  <c r="C158" i="13"/>
  <c r="C159" i="13"/>
  <c r="J97" i="13"/>
  <c r="E100" i="13" s="1"/>
  <c r="M100" i="13"/>
  <c r="M101" i="13"/>
  <c r="O100" i="13"/>
  <c r="O101" i="13"/>
  <c r="J81" i="6"/>
  <c r="J32" i="6" s="1"/>
  <c r="J57" i="6"/>
  <c r="J31" i="6" s="1"/>
  <c r="H229" i="2"/>
  <c r="C64" i="38" l="1"/>
  <c r="G168" i="36"/>
  <c r="G90" i="36"/>
  <c r="G25" i="37"/>
  <c r="G41" i="37"/>
  <c r="A82" i="20"/>
  <c r="G66" i="36"/>
  <c r="G110" i="36"/>
  <c r="G142" i="36"/>
  <c r="G37" i="37"/>
  <c r="G45" i="37"/>
  <c r="G53" i="37"/>
  <c r="G69" i="37"/>
  <c r="G107" i="37"/>
  <c r="G22" i="37"/>
  <c r="G36" i="36"/>
  <c r="G96" i="36"/>
  <c r="G47" i="37"/>
  <c r="F166" i="34"/>
  <c r="I51" i="5"/>
  <c r="G95" i="2" s="1"/>
  <c r="G79" i="34"/>
  <c r="J184" i="36"/>
  <c r="G77" i="36"/>
  <c r="G85" i="36"/>
  <c r="G125" i="36"/>
  <c r="G149" i="36"/>
  <c r="G68" i="37"/>
  <c r="G76" i="37"/>
  <c r="G84" i="37"/>
  <c r="I53" i="11"/>
  <c r="I55" i="11" s="1"/>
  <c r="G93" i="36"/>
  <c r="D110" i="37"/>
  <c r="G147" i="36"/>
  <c r="F80" i="38"/>
  <c r="G100" i="2" s="1"/>
  <c r="L100" i="2" s="1"/>
  <c r="G76" i="36"/>
  <c r="G30" i="37"/>
  <c r="C23" i="7"/>
  <c r="I197" i="36"/>
  <c r="G83" i="36"/>
  <c r="G174" i="36"/>
  <c r="G26" i="37"/>
  <c r="G32" i="36"/>
  <c r="G199" i="34"/>
  <c r="G44" i="36"/>
  <c r="G67" i="36"/>
  <c r="G31" i="37"/>
  <c r="G39" i="37"/>
  <c r="G55" i="37"/>
  <c r="G63" i="37"/>
  <c r="G74" i="37"/>
  <c r="G79" i="37"/>
  <c r="G95" i="37"/>
  <c r="G46" i="36"/>
  <c r="G28" i="37"/>
  <c r="G92" i="37"/>
  <c r="G54" i="37"/>
  <c r="G103" i="36"/>
  <c r="G81" i="36"/>
  <c r="G49" i="37"/>
  <c r="A81" i="13"/>
  <c r="A21" i="6"/>
  <c r="E108" i="2" s="1"/>
  <c r="G56" i="36"/>
  <c r="G64" i="36"/>
  <c r="G19" i="37"/>
  <c r="G83" i="37"/>
  <c r="G91" i="37"/>
  <c r="J194" i="34"/>
  <c r="G99" i="36"/>
  <c r="C197" i="36"/>
  <c r="G66" i="37"/>
  <c r="G90" i="37"/>
  <c r="G133" i="36"/>
  <c r="G35" i="36"/>
  <c r="G172" i="36"/>
  <c r="F23" i="36"/>
  <c r="G61" i="36"/>
  <c r="G105" i="36"/>
  <c r="G116" i="36"/>
  <c r="G124" i="36"/>
  <c r="G148" i="36"/>
  <c r="G47" i="36"/>
  <c r="G63" i="36"/>
  <c r="G88" i="36"/>
  <c r="G18" i="37"/>
  <c r="G160" i="36"/>
  <c r="L243" i="2"/>
  <c r="G250" i="2" s="1"/>
  <c r="J250" i="2" s="1"/>
  <c r="E22" i="13" s="1"/>
  <c r="G19" i="36"/>
  <c r="G141" i="36"/>
  <c r="G38" i="36"/>
  <c r="G78" i="36"/>
  <c r="G163" i="36"/>
  <c r="G166" i="34"/>
  <c r="E23" i="36"/>
  <c r="G136" i="36"/>
  <c r="G144" i="36"/>
  <c r="G61" i="37"/>
  <c r="G93" i="37"/>
  <c r="G95" i="36"/>
  <c r="G71" i="37"/>
  <c r="G21" i="36"/>
  <c r="G37" i="36"/>
  <c r="G40" i="36"/>
  <c r="J177" i="36"/>
  <c r="J183" i="36" s="1"/>
  <c r="G84" i="36"/>
  <c r="G159" i="36"/>
  <c r="G167" i="36"/>
  <c r="J110" i="37"/>
  <c r="G42" i="36"/>
  <c r="G58" i="36"/>
  <c r="G153" i="36"/>
  <c r="G164" i="36"/>
  <c r="G195" i="36"/>
  <c r="G39" i="36"/>
  <c r="G150" i="36"/>
  <c r="G24" i="37"/>
  <c r="G32" i="37"/>
  <c r="G80" i="37"/>
  <c r="G88" i="37"/>
  <c r="G96" i="37"/>
  <c r="A75" i="38"/>
  <c r="A76" i="38" s="1"/>
  <c r="A77" i="38" s="1"/>
  <c r="A78" i="38" s="1"/>
  <c r="A79" i="38" s="1"/>
  <c r="A80" i="38" s="1"/>
  <c r="A84" i="38" s="1"/>
  <c r="A87" i="38" s="1"/>
  <c r="E98" i="2"/>
  <c r="J197" i="36"/>
  <c r="J33" i="6"/>
  <c r="G110" i="2" s="1"/>
  <c r="G33" i="6"/>
  <c r="G112" i="2" s="1"/>
  <c r="L112" i="2" s="1"/>
  <c r="G53" i="36"/>
  <c r="G157" i="36"/>
  <c r="K197" i="36"/>
  <c r="G100" i="37"/>
  <c r="E166" i="34"/>
  <c r="I110" i="37"/>
  <c r="J118" i="34"/>
  <c r="G50" i="36"/>
  <c r="G86" i="36"/>
  <c r="G97" i="36"/>
  <c r="G143" i="36"/>
  <c r="G154" i="36"/>
  <c r="G162" i="36"/>
  <c r="G34" i="37"/>
  <c r="G42" i="37"/>
  <c r="G58" i="37"/>
  <c r="G101" i="37"/>
  <c r="G105" i="37"/>
  <c r="F87" i="38"/>
  <c r="G102" i="2" s="1"/>
  <c r="F199" i="34"/>
  <c r="G49" i="36"/>
  <c r="G57" i="36"/>
  <c r="G65" i="36"/>
  <c r="G80" i="36"/>
  <c r="G91" i="36"/>
  <c r="G102" i="36"/>
  <c r="G121" i="36"/>
  <c r="G137" i="36"/>
  <c r="G156" i="36"/>
  <c r="G52" i="37"/>
  <c r="G106" i="37"/>
  <c r="G84" i="2"/>
  <c r="K48" i="11" s="1"/>
  <c r="K51" i="11" s="1"/>
  <c r="K53" i="11" s="1"/>
  <c r="K55" i="11" s="1"/>
  <c r="I57" i="11" s="1"/>
  <c r="H166" i="34"/>
  <c r="J112" i="34"/>
  <c r="J195" i="34"/>
  <c r="M88" i="13"/>
  <c r="N21" i="13" s="1"/>
  <c r="G29" i="36"/>
  <c r="C72" i="36"/>
  <c r="G43" i="36"/>
  <c r="G107" i="36"/>
  <c r="G123" i="36"/>
  <c r="G134" i="36"/>
  <c r="G161" i="36"/>
  <c r="G166" i="36"/>
  <c r="G173" i="36"/>
  <c r="G181" i="36"/>
  <c r="G62" i="37"/>
  <c r="G70" i="37"/>
  <c r="G78" i="37"/>
  <c r="G81" i="37"/>
  <c r="G86" i="37"/>
  <c r="G94" i="37"/>
  <c r="G99" i="37"/>
  <c r="G103" i="37"/>
  <c r="G31" i="36"/>
  <c r="G112" i="36"/>
  <c r="G120" i="36"/>
  <c r="G35" i="37"/>
  <c r="G43" i="37"/>
  <c r="G51" i="37"/>
  <c r="G59" i="37"/>
  <c r="B63" i="34"/>
  <c r="A16" i="34"/>
  <c r="D35" i="5"/>
  <c r="A184" i="36"/>
  <c r="G194" i="36"/>
  <c r="I139" i="34"/>
  <c r="I167" i="34" s="1"/>
  <c r="O33" i="21"/>
  <c r="G195" i="2" s="1"/>
  <c r="G48" i="36"/>
  <c r="F71" i="36"/>
  <c r="G129" i="36"/>
  <c r="G145" i="36"/>
  <c r="G64" i="37"/>
  <c r="D109" i="37"/>
  <c r="G82" i="37"/>
  <c r="G48" i="37"/>
  <c r="C110" i="37"/>
  <c r="A181" i="36"/>
  <c r="G30" i="36"/>
  <c r="G101" i="36"/>
  <c r="G131" i="36"/>
  <c r="G87" i="37"/>
  <c r="C199" i="34"/>
  <c r="G108" i="36"/>
  <c r="F52" i="34"/>
  <c r="F80" i="34" s="1"/>
  <c r="I72" i="36"/>
  <c r="G158" i="36"/>
  <c r="J109" i="37"/>
  <c r="J25" i="34"/>
  <c r="G151" i="36"/>
  <c r="F48" i="13"/>
  <c r="E139" i="34"/>
  <c r="E151" i="34" s="1"/>
  <c r="G52" i="36"/>
  <c r="G92" i="36"/>
  <c r="G130" i="36"/>
  <c r="G146" i="36"/>
  <c r="D197" i="36"/>
  <c r="G33" i="37"/>
  <c r="G38" i="37"/>
  <c r="G46" i="37"/>
  <c r="G65" i="37"/>
  <c r="G73" i="37"/>
  <c r="K110" i="37"/>
  <c r="G89" i="37"/>
  <c r="E66" i="2"/>
  <c r="A29" i="38"/>
  <c r="A30" i="38" s="1"/>
  <c r="A31" i="38" s="1"/>
  <c r="A32" i="38" s="1"/>
  <c r="A33" i="38" s="1"/>
  <c r="A34" i="38" s="1"/>
  <c r="A35" i="38" s="1"/>
  <c r="A36" i="38" s="1"/>
  <c r="A37" i="38" s="1"/>
  <c r="A38" i="38" s="1"/>
  <c r="A39" i="38" s="1"/>
  <c r="A40" i="38" s="1"/>
  <c r="A41" i="38" s="1"/>
  <c r="A42" i="38" s="1"/>
  <c r="E67" i="2"/>
  <c r="E64" i="2"/>
  <c r="E65" i="2"/>
  <c r="A22" i="40"/>
  <c r="A23" i="40" s="1"/>
  <c r="A26" i="40" s="1"/>
  <c r="A27" i="40" s="1"/>
  <c r="A28" i="40" s="1"/>
  <c r="A29" i="40" s="1"/>
  <c r="A30" i="40" s="1"/>
  <c r="N89" i="13"/>
  <c r="O22" i="13" s="1"/>
  <c r="C44" i="34"/>
  <c r="J44" i="34" s="1"/>
  <c r="J43" i="34"/>
  <c r="G28" i="36"/>
  <c r="D71" i="36"/>
  <c r="G21" i="37"/>
  <c r="G97" i="37"/>
  <c r="E109" i="37"/>
  <c r="A24" i="9"/>
  <c r="A25" i="9" s="1"/>
  <c r="A26" i="9" s="1"/>
  <c r="A27" i="9" s="1"/>
  <c r="A28" i="9" s="1"/>
  <c r="A29" i="9" s="1"/>
  <c r="A30" i="9" s="1"/>
  <c r="A31" i="9" s="1"/>
  <c r="A32" i="9" s="1"/>
  <c r="A33" i="9" s="1"/>
  <c r="A36" i="9" s="1"/>
  <c r="A37" i="9" s="1"/>
  <c r="A38" i="9" s="1"/>
  <c r="A39" i="9" s="1"/>
  <c r="A40" i="9" s="1"/>
  <c r="A41" i="9" s="1"/>
  <c r="A44" i="9" s="1"/>
  <c r="G20" i="37"/>
  <c r="M89" i="13"/>
  <c r="N22" i="13" s="1"/>
  <c r="G20" i="36"/>
  <c r="C79" i="34"/>
  <c r="B17" i="2"/>
  <c r="B18" i="2" s="1"/>
  <c r="B24" i="2" s="1"/>
  <c r="B26" i="2" s="1"/>
  <c r="B27" i="2" s="1"/>
  <c r="E18" i="2"/>
  <c r="G188" i="34"/>
  <c r="G213" i="34" s="1"/>
  <c r="F29" i="10"/>
  <c r="F357" i="2" s="1"/>
  <c r="G177" i="2" s="1"/>
  <c r="G181" i="2" s="1"/>
  <c r="G186" i="2" s="1"/>
  <c r="G17" i="36"/>
  <c r="D23" i="36"/>
  <c r="I71" i="36"/>
  <c r="G54" i="36"/>
  <c r="G62" i="36"/>
  <c r="G82" i="36"/>
  <c r="G109" i="36"/>
  <c r="G139" i="36"/>
  <c r="G23" i="37"/>
  <c r="G36" i="37"/>
  <c r="G40" i="37"/>
  <c r="G50" i="37"/>
  <c r="G85" i="37"/>
  <c r="J124" i="34"/>
  <c r="E125" i="34"/>
  <c r="E140" i="34" s="1"/>
  <c r="J197" i="34"/>
  <c r="G51" i="36"/>
  <c r="G59" i="36"/>
  <c r="G79" i="36"/>
  <c r="G104" i="36"/>
  <c r="G122" i="36"/>
  <c r="G126" i="36"/>
  <c r="G27" i="37"/>
  <c r="G44" i="37"/>
  <c r="G57" i="37"/>
  <c r="G72" i="37"/>
  <c r="G102" i="37"/>
  <c r="G104" i="37"/>
  <c r="H79" i="34"/>
  <c r="E199" i="34"/>
  <c r="G33" i="36"/>
  <c r="D177" i="36"/>
  <c r="D183" i="36" s="1"/>
  <c r="G114" i="36"/>
  <c r="G118" i="36"/>
  <c r="K177" i="36"/>
  <c r="K183" i="36" s="1"/>
  <c r="G127" i="36"/>
  <c r="G128" i="36"/>
  <c r="G138" i="36"/>
  <c r="G140" i="36"/>
  <c r="G170" i="36"/>
  <c r="I166" i="34"/>
  <c r="E188" i="34"/>
  <c r="E213" i="34" s="1"/>
  <c r="E216" i="34" s="1"/>
  <c r="H188" i="34"/>
  <c r="H213" i="34" s="1"/>
  <c r="J196" i="34"/>
  <c r="G87" i="36"/>
  <c r="G94" i="36"/>
  <c r="G98" i="36"/>
  <c r="D184" i="36"/>
  <c r="K184" i="36"/>
  <c r="G111" i="36"/>
  <c r="G115" i="36"/>
  <c r="G119" i="36"/>
  <c r="G132" i="36"/>
  <c r="G135" i="36"/>
  <c r="G152" i="36"/>
  <c r="G155" i="36"/>
  <c r="G165" i="36"/>
  <c r="G171" i="36"/>
  <c r="G180" i="36"/>
  <c r="G29" i="37"/>
  <c r="G56" i="37"/>
  <c r="G60" i="37"/>
  <c r="G67" i="37"/>
  <c r="G77" i="37"/>
  <c r="D33" i="40"/>
  <c r="G152" i="2" s="1"/>
  <c r="H232" i="2"/>
  <c r="P119" i="13"/>
  <c r="D20" i="40"/>
  <c r="H228" i="2"/>
  <c r="C166" i="34"/>
  <c r="F233" i="2"/>
  <c r="E172" i="2"/>
  <c r="E169" i="2"/>
  <c r="A48" i="11"/>
  <c r="E173" i="2"/>
  <c r="G106" i="36"/>
  <c r="C177" i="36"/>
  <c r="C183" i="36" s="1"/>
  <c r="C184" i="36"/>
  <c r="E242" i="2"/>
  <c r="B74" i="39"/>
  <c r="E243" i="2"/>
  <c r="E244" i="2"/>
  <c r="A29" i="39"/>
  <c r="A30" i="39" s="1"/>
  <c r="A31" i="39" s="1"/>
  <c r="A32" i="39" s="1"/>
  <c r="A33" i="39" s="1"/>
  <c r="A34" i="39" s="1"/>
  <c r="A35" i="39" s="1"/>
  <c r="A36" i="39" s="1"/>
  <c r="A37" i="39" s="1"/>
  <c r="A38" i="39" s="1"/>
  <c r="A39" i="39" s="1"/>
  <c r="A40" i="39" s="1"/>
  <c r="A41" i="39" s="1"/>
  <c r="A42" i="39" s="1"/>
  <c r="E63" i="34"/>
  <c r="E79" i="34"/>
  <c r="I199" i="34"/>
  <c r="J193" i="34"/>
  <c r="I131" i="34"/>
  <c r="I140" i="34" s="1"/>
  <c r="J130" i="34"/>
  <c r="E61" i="11"/>
  <c r="E63" i="11" s="1"/>
  <c r="E65" i="11" s="1"/>
  <c r="E53" i="11"/>
  <c r="E55" i="11" s="1"/>
  <c r="G119" i="34"/>
  <c r="G140" i="34" s="1"/>
  <c r="G139" i="34"/>
  <c r="H32" i="34"/>
  <c r="H53" i="34" s="1"/>
  <c r="H203" i="34" s="1"/>
  <c r="H52" i="34"/>
  <c r="G52" i="34"/>
  <c r="G38" i="34"/>
  <c r="G53" i="34" s="1"/>
  <c r="G203" i="34" s="1"/>
  <c r="C50" i="34"/>
  <c r="J50" i="34" s="1"/>
  <c r="J49" i="34"/>
  <c r="I188" i="34"/>
  <c r="I213" i="34" s="1"/>
  <c r="J183" i="34"/>
  <c r="J188" i="34" s="1"/>
  <c r="J213" i="34" s="1"/>
  <c r="C188" i="34"/>
  <c r="C213" i="34" s="1"/>
  <c r="F139" i="34"/>
  <c r="F119" i="34"/>
  <c r="F140" i="34" s="1"/>
  <c r="J14" i="34"/>
  <c r="J63" i="34" s="1"/>
  <c r="I38" i="34"/>
  <c r="I52" i="34"/>
  <c r="B23" i="7"/>
  <c r="A23" i="7"/>
  <c r="E116" i="2" s="1"/>
  <c r="I63" i="34"/>
  <c r="I79" i="34"/>
  <c r="F79" i="34"/>
  <c r="F63" i="34"/>
  <c r="G34" i="36"/>
  <c r="D72" i="36"/>
  <c r="K71" i="36"/>
  <c r="K72" i="36"/>
  <c r="J71" i="36"/>
  <c r="J72" i="36"/>
  <c r="E91" i="2"/>
  <c r="A23" i="5"/>
  <c r="A25" i="5" s="1"/>
  <c r="H199" i="34"/>
  <c r="J136" i="34"/>
  <c r="C137" i="34"/>
  <c r="J137" i="34" s="1"/>
  <c r="C139" i="34"/>
  <c r="F53" i="34"/>
  <c r="F203" i="34" s="1"/>
  <c r="J37" i="34"/>
  <c r="E177" i="36"/>
  <c r="E183" i="36" s="1"/>
  <c r="G169" i="36"/>
  <c r="G75" i="37"/>
  <c r="C109" i="37"/>
  <c r="G98" i="37"/>
  <c r="F109" i="37"/>
  <c r="N88" i="13"/>
  <c r="O21" i="13" s="1"/>
  <c r="E53" i="34"/>
  <c r="E203" i="34" s="1"/>
  <c r="D20" i="5"/>
  <c r="E171" i="2"/>
  <c r="A23" i="31"/>
  <c r="J101" i="34"/>
  <c r="J150" i="34" s="1"/>
  <c r="H131" i="34"/>
  <c r="H140" i="34" s="1"/>
  <c r="H139" i="34"/>
  <c r="J198" i="34"/>
  <c r="F188" i="34"/>
  <c r="F213" i="34" s="1"/>
  <c r="E52" i="34"/>
  <c r="C32" i="34"/>
  <c r="J31" i="34"/>
  <c r="C52" i="34"/>
  <c r="G41" i="36"/>
  <c r="C71" i="36"/>
  <c r="G45" i="36"/>
  <c r="G68" i="36"/>
  <c r="E71" i="36"/>
  <c r="I177" i="36"/>
  <c r="I183" i="36" s="1"/>
  <c r="I184" i="36"/>
  <c r="I109" i="37"/>
  <c r="D32" i="32"/>
  <c r="G55" i="36"/>
  <c r="G60" i="36"/>
  <c r="G89" i="36"/>
  <c r="G100" i="36"/>
  <c r="F177" i="36"/>
  <c r="F183" i="36" s="1"/>
  <c r="G113" i="36"/>
  <c r="G117" i="36"/>
  <c r="G17" i="37"/>
  <c r="K109" i="37"/>
  <c r="S17" i="21"/>
  <c r="S22" i="21"/>
  <c r="S27" i="21"/>
  <c r="E55" i="39"/>
  <c r="L239" i="2" s="1"/>
  <c r="P126" i="13"/>
  <c r="P148" i="13"/>
  <c r="P150" i="13"/>
  <c r="P158" i="13"/>
  <c r="I18" i="5"/>
  <c r="P111" i="13"/>
  <c r="P115" i="13"/>
  <c r="P153" i="13"/>
  <c r="P155" i="13"/>
  <c r="P131" i="13"/>
  <c r="G67" i="2"/>
  <c r="P103" i="13"/>
  <c r="P107" i="13"/>
  <c r="P124" i="13"/>
  <c r="P132" i="13"/>
  <c r="P134" i="13"/>
  <c r="P138" i="13"/>
  <c r="P142" i="13"/>
  <c r="P146" i="13"/>
  <c r="P116" i="13"/>
  <c r="P125" i="13"/>
  <c r="P127" i="13"/>
  <c r="P100" i="13"/>
  <c r="P128" i="13"/>
  <c r="P139" i="13"/>
  <c r="P113" i="13"/>
  <c r="P157" i="13"/>
  <c r="I26" i="5"/>
  <c r="G77" i="2"/>
  <c r="P112" i="13"/>
  <c r="P114" i="13"/>
  <c r="P118" i="13"/>
  <c r="P141" i="13"/>
  <c r="P145" i="13"/>
  <c r="P147" i="13"/>
  <c r="P143" i="13"/>
  <c r="P104" i="13"/>
  <c r="P121" i="13"/>
  <c r="P133" i="13"/>
  <c r="P135" i="13"/>
  <c r="P144" i="13"/>
  <c r="P117" i="13"/>
  <c r="P140" i="13"/>
  <c r="P105" i="13"/>
  <c r="P109" i="13"/>
  <c r="P120" i="13"/>
  <c r="P122" i="13"/>
  <c r="P136" i="13"/>
  <c r="I42" i="5"/>
  <c r="F100" i="13"/>
  <c r="P129" i="13"/>
  <c r="P152" i="13"/>
  <c r="P154" i="13"/>
  <c r="P156" i="13"/>
  <c r="G10" i="39"/>
  <c r="G23" i="39" s="1"/>
  <c r="L242" i="2"/>
  <c r="G63" i="2"/>
  <c r="I34" i="5"/>
  <c r="P106" i="13"/>
  <c r="P108" i="13"/>
  <c r="P110" i="13"/>
  <c r="P123" i="13"/>
  <c r="P137" i="13"/>
  <c r="P101" i="13"/>
  <c r="P151" i="13"/>
  <c r="P159" i="13"/>
  <c r="H29" i="39"/>
  <c r="H42" i="39" s="1"/>
  <c r="P102" i="13"/>
  <c r="P130" i="13"/>
  <c r="P149" i="13"/>
  <c r="E73" i="2" l="1"/>
  <c r="G70" i="2"/>
  <c r="A23" i="6"/>
  <c r="E109" i="2" s="1"/>
  <c r="L246" i="2"/>
  <c r="G251" i="2" s="1"/>
  <c r="I58" i="11"/>
  <c r="I59" i="11" s="1"/>
  <c r="E22" i="20"/>
  <c r="H229" i="34"/>
  <c r="G197" i="36"/>
  <c r="G229" i="34"/>
  <c r="P21" i="13"/>
  <c r="E100" i="2"/>
  <c r="G72" i="36"/>
  <c r="E229" i="34"/>
  <c r="E77" i="2"/>
  <c r="G23" i="36"/>
  <c r="E74" i="2"/>
  <c r="G110" i="37"/>
  <c r="E137" i="2"/>
  <c r="E167" i="34"/>
  <c r="G187" i="2"/>
  <c r="G188" i="2"/>
  <c r="J131" i="34"/>
  <c r="I151" i="34"/>
  <c r="B23" i="40"/>
  <c r="D34" i="5"/>
  <c r="A186" i="36"/>
  <c r="A188" i="36" s="1"/>
  <c r="A190" i="36" s="1"/>
  <c r="A192" i="36" s="1"/>
  <c r="A193" i="36" s="1"/>
  <c r="A194" i="36" s="1"/>
  <c r="A195" i="36" s="1"/>
  <c r="A196" i="36" s="1"/>
  <c r="A197" i="36" s="1"/>
  <c r="D52" i="5" s="1"/>
  <c r="J38" i="34"/>
  <c r="I144" i="34"/>
  <c r="I147" i="34" s="1"/>
  <c r="I152" i="34" s="1"/>
  <c r="E75" i="2"/>
  <c r="B13" i="34"/>
  <c r="A19" i="34"/>
  <c r="A20" i="34" s="1"/>
  <c r="A21" i="34" s="1"/>
  <c r="A22" i="34" s="1"/>
  <c r="A23" i="34" s="1"/>
  <c r="A24" i="34" s="1"/>
  <c r="A25" i="34" s="1"/>
  <c r="E144" i="34"/>
  <c r="E147" i="34" s="1"/>
  <c r="E152" i="34" s="1"/>
  <c r="E153" i="34" s="1"/>
  <c r="E76" i="2"/>
  <c r="G184" i="36"/>
  <c r="A49" i="38"/>
  <c r="A50" i="38" s="1"/>
  <c r="A51" i="38" s="1"/>
  <c r="A52" i="38" s="1"/>
  <c r="A53" i="38" s="1"/>
  <c r="A54" i="38" s="1"/>
  <c r="A55" i="38" s="1"/>
  <c r="A56" i="38" s="1"/>
  <c r="A57" i="38" s="1"/>
  <c r="A58" i="38" s="1"/>
  <c r="A59" i="38" s="1"/>
  <c r="A60" i="38" s="1"/>
  <c r="A61" i="38" s="1"/>
  <c r="A62" i="38" s="1"/>
  <c r="D214" i="2" s="1"/>
  <c r="G216" i="34"/>
  <c r="G218" i="34" s="1"/>
  <c r="F57" i="34"/>
  <c r="F60" i="34" s="1"/>
  <c r="F65" i="34" s="1"/>
  <c r="F64" i="34"/>
  <c r="M90" i="13"/>
  <c r="E57" i="11"/>
  <c r="E58" i="11" s="1"/>
  <c r="E59" i="11" s="1"/>
  <c r="O89" i="13"/>
  <c r="E218" i="34"/>
  <c r="J166" i="34"/>
  <c r="E28" i="2"/>
  <c r="B28" i="2"/>
  <c r="B30" i="2" s="1"/>
  <c r="B31" i="2" s="1"/>
  <c r="D30" i="2"/>
  <c r="G109" i="37"/>
  <c r="G177" i="36"/>
  <c r="G183" i="36" s="1"/>
  <c r="I53" i="34"/>
  <c r="I203" i="34" s="1"/>
  <c r="H216" i="34"/>
  <c r="H218" i="34" s="1"/>
  <c r="J125" i="34"/>
  <c r="H233" i="2"/>
  <c r="O88" i="13"/>
  <c r="O23" i="13"/>
  <c r="S33" i="21"/>
  <c r="L195" i="2" s="1"/>
  <c r="N90" i="13"/>
  <c r="H202" i="34"/>
  <c r="H80" i="34"/>
  <c r="H64" i="34"/>
  <c r="H57" i="34"/>
  <c r="H60" i="34" s="1"/>
  <c r="H65" i="34" s="1"/>
  <c r="C53" i="34"/>
  <c r="J32" i="34"/>
  <c r="H151" i="34"/>
  <c r="H167" i="34"/>
  <c r="H144" i="34"/>
  <c r="H147" i="34" s="1"/>
  <c r="H152" i="34" s="1"/>
  <c r="I202" i="34"/>
  <c r="I57" i="34"/>
  <c r="I60" i="34" s="1"/>
  <c r="I65" i="34" s="1"/>
  <c r="I80" i="34"/>
  <c r="I64" i="34"/>
  <c r="F151" i="34"/>
  <c r="F167" i="34"/>
  <c r="F144" i="34"/>
  <c r="F147" i="34" s="1"/>
  <c r="F152" i="34" s="1"/>
  <c r="F202" i="34"/>
  <c r="C140" i="34"/>
  <c r="J140" i="34" s="1"/>
  <c r="A48" i="39"/>
  <c r="A49" i="39" s="1"/>
  <c r="G57" i="11"/>
  <c r="K57" i="11"/>
  <c r="K58" i="11" s="1"/>
  <c r="I216" i="34"/>
  <c r="I218" i="34" s="1"/>
  <c r="I229" i="34"/>
  <c r="A50" i="11"/>
  <c r="A51" i="11" s="1"/>
  <c r="C61" i="11" s="1"/>
  <c r="E80" i="34"/>
  <c r="E57" i="34"/>
  <c r="E60" i="34" s="1"/>
  <c r="E65" i="34" s="1"/>
  <c r="E64" i="34"/>
  <c r="E202" i="34"/>
  <c r="A30" i="31"/>
  <c r="A37" i="31" s="1"/>
  <c r="A40" i="31" s="1"/>
  <c r="A49" i="31" s="1"/>
  <c r="A50" i="31" s="1"/>
  <c r="A52" i="31" s="1"/>
  <c r="A54" i="31" s="1"/>
  <c r="A58" i="31" s="1"/>
  <c r="A59" i="31" s="1"/>
  <c r="A61" i="31" s="1"/>
  <c r="A62" i="31" s="1"/>
  <c r="A65" i="31" s="1"/>
  <c r="A69" i="31" s="1"/>
  <c r="A81" i="31" s="1"/>
  <c r="A86" i="31" s="1"/>
  <c r="A89" i="31" s="1"/>
  <c r="A95" i="31" s="1"/>
  <c r="A98" i="31" s="1"/>
  <c r="A101" i="31" s="1"/>
  <c r="G71" i="36"/>
  <c r="C151" i="34"/>
  <c r="C167" i="34"/>
  <c r="C144" i="34"/>
  <c r="J139" i="34"/>
  <c r="C30" i="40"/>
  <c r="C216" i="34"/>
  <c r="C218" i="34" s="1"/>
  <c r="J79" i="34"/>
  <c r="J119" i="34"/>
  <c r="K61" i="11"/>
  <c r="K63" i="11" s="1"/>
  <c r="K65" i="11" s="1"/>
  <c r="E149" i="2"/>
  <c r="A47" i="9"/>
  <c r="A48" i="9" s="1"/>
  <c r="A49" i="9" s="1"/>
  <c r="A50" i="9" s="1"/>
  <c r="A51" i="9" s="1"/>
  <c r="A52" i="9" s="1"/>
  <c r="A53" i="9" s="1"/>
  <c r="A54" i="9" s="1"/>
  <c r="A55" i="9" s="1"/>
  <c r="A56" i="9" s="1"/>
  <c r="A57" i="9" s="1"/>
  <c r="A58" i="9" s="1"/>
  <c r="A59" i="9" s="1"/>
  <c r="A60" i="9" s="1"/>
  <c r="A61" i="9" s="1"/>
  <c r="A62" i="9" s="1"/>
  <c r="A64" i="9" s="1"/>
  <c r="C202" i="34"/>
  <c r="C64" i="34"/>
  <c r="J52" i="34"/>
  <c r="C57" i="34"/>
  <c r="C80" i="34"/>
  <c r="F216" i="34"/>
  <c r="F218" i="34" s="1"/>
  <c r="A26" i="5"/>
  <c r="A27" i="5" s="1"/>
  <c r="A28" i="5" s="1"/>
  <c r="A31" i="5" s="1"/>
  <c r="A33" i="5" s="1"/>
  <c r="C33" i="40"/>
  <c r="A33" i="40"/>
  <c r="E152" i="2" s="1"/>
  <c r="F229" i="34"/>
  <c r="J216" i="34"/>
  <c r="H270" i="2" s="1"/>
  <c r="G80" i="34"/>
  <c r="G64" i="34"/>
  <c r="G57" i="34"/>
  <c r="G60" i="34" s="1"/>
  <c r="G65" i="34" s="1"/>
  <c r="G202" i="34"/>
  <c r="G167" i="34"/>
  <c r="G144" i="34"/>
  <c r="G147" i="34" s="1"/>
  <c r="G152" i="34" s="1"/>
  <c r="G151" i="34"/>
  <c r="J199" i="34"/>
  <c r="C229" i="34"/>
  <c r="G85" i="2"/>
  <c r="G73" i="2"/>
  <c r="G80" i="2" s="1"/>
  <c r="L73" i="2"/>
  <c r="G100" i="13"/>
  <c r="D101" i="13"/>
  <c r="L212" i="2"/>
  <c r="N23" i="13"/>
  <c r="P22" i="13"/>
  <c r="G249" i="2"/>
  <c r="E57" i="39"/>
  <c r="H234" i="34" l="1"/>
  <c r="H237" i="34" s="1"/>
  <c r="G234" i="34"/>
  <c r="G237" i="34" s="1"/>
  <c r="A29" i="6"/>
  <c r="A31" i="6" s="1"/>
  <c r="A32" i="6" s="1"/>
  <c r="A33" i="6" s="1"/>
  <c r="E113" i="2" s="1"/>
  <c r="P23" i="13"/>
  <c r="E234" i="34"/>
  <c r="E237" i="34" s="1"/>
  <c r="J218" i="34"/>
  <c r="G267" i="2" s="1"/>
  <c r="H267" i="2" s="1"/>
  <c r="D213" i="2"/>
  <c r="F66" i="34"/>
  <c r="F68" i="34" s="1"/>
  <c r="F84" i="34" s="1"/>
  <c r="F87" i="34" s="1"/>
  <c r="E66" i="34"/>
  <c r="E68" i="34" s="1"/>
  <c r="E84" i="34" s="1"/>
  <c r="E87" i="34" s="1"/>
  <c r="I153" i="34"/>
  <c r="I155" i="34" s="1"/>
  <c r="I171" i="34" s="1"/>
  <c r="I174" i="34" s="1"/>
  <c r="E155" i="34"/>
  <c r="E171" i="34" s="1"/>
  <c r="E174" i="34" s="1"/>
  <c r="E157" i="34"/>
  <c r="E173" i="34" s="1"/>
  <c r="E156" i="34"/>
  <c r="E172" i="34" s="1"/>
  <c r="B79" i="34"/>
  <c r="A28" i="34"/>
  <c r="A29" i="34" s="1"/>
  <c r="A30" i="34" s="1"/>
  <c r="A31" i="34" s="1"/>
  <c r="I234" i="34"/>
  <c r="I237" i="34" s="1"/>
  <c r="I66" i="34"/>
  <c r="I68" i="34" s="1"/>
  <c r="I84" i="34" s="1"/>
  <c r="I87" i="34" s="1"/>
  <c r="C51" i="11"/>
  <c r="O90" i="13"/>
  <c r="D28" i="5"/>
  <c r="C234" i="34"/>
  <c r="C237" i="34" s="1"/>
  <c r="F234" i="34"/>
  <c r="F237" i="34" s="1"/>
  <c r="B33" i="2"/>
  <c r="B34" i="2" s="1"/>
  <c r="D33" i="2"/>
  <c r="C70" i="13"/>
  <c r="C70" i="20"/>
  <c r="M57" i="11"/>
  <c r="G153" i="34"/>
  <c r="G155" i="34" s="1"/>
  <c r="G171" i="34" s="1"/>
  <c r="G174" i="34" s="1"/>
  <c r="J64" i="34"/>
  <c r="J202" i="34"/>
  <c r="J80" i="34"/>
  <c r="F153" i="34"/>
  <c r="F155" i="34" s="1"/>
  <c r="F171" i="34" s="1"/>
  <c r="F174" i="34" s="1"/>
  <c r="G66" i="34"/>
  <c r="G68" i="34" s="1"/>
  <c r="G84" i="34" s="1"/>
  <c r="G87" i="34" s="1"/>
  <c r="E92" i="2"/>
  <c r="G67" i="11"/>
  <c r="K67" i="11"/>
  <c r="K68" i="11" s="1"/>
  <c r="E67" i="11"/>
  <c r="E68" i="11" s="1"/>
  <c r="E69" i="11" s="1"/>
  <c r="I67" i="11"/>
  <c r="I68" i="11" s="1"/>
  <c r="I69" i="11" s="1"/>
  <c r="J151" i="34"/>
  <c r="J167" i="34"/>
  <c r="A52" i="11"/>
  <c r="A53" i="11" s="1"/>
  <c r="F230" i="34"/>
  <c r="F207" i="34"/>
  <c r="F210" i="34" s="1"/>
  <c r="F215" i="34" s="1"/>
  <c r="F220" i="34" s="1"/>
  <c r="F236" i="34" s="1"/>
  <c r="F214" i="34"/>
  <c r="F219" i="34" s="1"/>
  <c r="H153" i="34"/>
  <c r="H155" i="34" s="1"/>
  <c r="H171" i="34" s="1"/>
  <c r="H174" i="34" s="1"/>
  <c r="H66" i="34"/>
  <c r="H68" i="34" s="1"/>
  <c r="H84" i="34" s="1"/>
  <c r="H87" i="34" s="1"/>
  <c r="E214" i="34"/>
  <c r="E219" i="34" s="1"/>
  <c r="E230" i="34"/>
  <c r="E207" i="34"/>
  <c r="E210" i="34" s="1"/>
  <c r="E215" i="34" s="1"/>
  <c r="E220" i="34" s="1"/>
  <c r="E236" i="34" s="1"/>
  <c r="I214" i="34"/>
  <c r="I219" i="34" s="1"/>
  <c r="I207" i="34"/>
  <c r="I210" i="34" s="1"/>
  <c r="I215" i="34" s="1"/>
  <c r="I220" i="34" s="1"/>
  <c r="I236" i="34" s="1"/>
  <c r="I230" i="34"/>
  <c r="A34" i="5"/>
  <c r="A35" i="5" s="1"/>
  <c r="A36" i="5" s="1"/>
  <c r="A39" i="5" s="1"/>
  <c r="A41" i="5" s="1"/>
  <c r="C207" i="34"/>
  <c r="C214" i="34"/>
  <c r="C219" i="34" s="1"/>
  <c r="C230" i="34"/>
  <c r="J144" i="34"/>
  <c r="J147" i="34" s="1"/>
  <c r="J152" i="34" s="1"/>
  <c r="C147" i="34"/>
  <c r="C152" i="34" s="1"/>
  <c r="C153" i="34" s="1"/>
  <c r="C155" i="34" s="1"/>
  <c r="C171" i="34" s="1"/>
  <c r="C174" i="34" s="1"/>
  <c r="C22" i="31"/>
  <c r="A50" i="39"/>
  <c r="A51" i="39" s="1"/>
  <c r="A52" i="39" s="1"/>
  <c r="A53" i="39" s="1"/>
  <c r="A54" i="39" s="1"/>
  <c r="A55" i="39" s="1"/>
  <c r="L257" i="2"/>
  <c r="J229" i="34"/>
  <c r="G207" i="34"/>
  <c r="G210" i="34" s="1"/>
  <c r="G215" i="34" s="1"/>
  <c r="G220" i="34" s="1"/>
  <c r="G236" i="34" s="1"/>
  <c r="G230" i="34"/>
  <c r="G214" i="34"/>
  <c r="G219" i="34" s="1"/>
  <c r="C60" i="34"/>
  <c r="C65" i="34" s="1"/>
  <c r="C66" i="34" s="1"/>
  <c r="C68" i="34" s="1"/>
  <c r="C84" i="34" s="1"/>
  <c r="C87" i="34" s="1"/>
  <c r="J57" i="34"/>
  <c r="J60" i="34" s="1"/>
  <c r="J65" i="34" s="1"/>
  <c r="A67" i="9"/>
  <c r="A68" i="9" s="1"/>
  <c r="E150" i="2"/>
  <c r="J53" i="34"/>
  <c r="J203" i="34" s="1"/>
  <c r="L258" i="2" s="1"/>
  <c r="J268" i="2" s="1"/>
  <c r="C203" i="34"/>
  <c r="H230" i="34"/>
  <c r="H214" i="34"/>
  <c r="H219" i="34" s="1"/>
  <c r="H207" i="34"/>
  <c r="H210" i="34" s="1"/>
  <c r="H215" i="34" s="1"/>
  <c r="H220" i="34" s="1"/>
  <c r="H236" i="34" s="1"/>
  <c r="L215" i="2"/>
  <c r="L63" i="2" s="1"/>
  <c r="E101" i="13"/>
  <c r="F101" i="13" s="1"/>
  <c r="J73" i="2"/>
  <c r="G252" i="2"/>
  <c r="J249" i="2"/>
  <c r="G83" i="2"/>
  <c r="G87" i="2" s="1"/>
  <c r="J234" i="34" l="1"/>
  <c r="J237" i="34" s="1"/>
  <c r="E110" i="2"/>
  <c r="E111" i="2"/>
  <c r="E112" i="2"/>
  <c r="A39" i="6"/>
  <c r="A41" i="6" s="1"/>
  <c r="A42" i="6" s="1"/>
  <c r="A43" i="6" s="1"/>
  <c r="A44" i="6" s="1"/>
  <c r="A45" i="6" s="1"/>
  <c r="A46" i="6" s="1"/>
  <c r="A47" i="6" s="1"/>
  <c r="A48" i="6" s="1"/>
  <c r="A49" i="6" s="1"/>
  <c r="A50" i="6" s="1"/>
  <c r="A51" i="6" s="1"/>
  <c r="A52" i="6" s="1"/>
  <c r="A53" i="6" s="1"/>
  <c r="A54" i="6" s="1"/>
  <c r="A55" i="6" s="1"/>
  <c r="A56" i="6" s="1"/>
  <c r="A63" i="6" s="1"/>
  <c r="A65" i="6" s="1"/>
  <c r="A66" i="6" s="1"/>
  <c r="A67" i="6" s="1"/>
  <c r="A68" i="6" s="1"/>
  <c r="A69" i="6" s="1"/>
  <c r="A70" i="6" s="1"/>
  <c r="A71" i="6" s="1"/>
  <c r="A74" i="6" s="1"/>
  <c r="A75" i="6" s="1"/>
  <c r="A76" i="6" s="1"/>
  <c r="A77" i="6" s="1"/>
  <c r="A78" i="6" s="1"/>
  <c r="A79" i="6" s="1"/>
  <c r="A80" i="6" s="1"/>
  <c r="F69" i="34"/>
  <c r="F85" i="34" s="1"/>
  <c r="F70" i="34"/>
  <c r="F86" i="34" s="1"/>
  <c r="F235" i="34"/>
  <c r="E70" i="34"/>
  <c r="E86" i="34" s="1"/>
  <c r="E69" i="34"/>
  <c r="E85" i="34" s="1"/>
  <c r="B55" i="39"/>
  <c r="I157" i="34"/>
  <c r="I173" i="34" s="1"/>
  <c r="G70" i="34"/>
  <c r="G86" i="34" s="1"/>
  <c r="G157" i="34"/>
  <c r="G173" i="34" s="1"/>
  <c r="I156" i="34"/>
  <c r="I172" i="34" s="1"/>
  <c r="G69" i="34"/>
  <c r="G85" i="34" s="1"/>
  <c r="I70" i="34"/>
  <c r="I86" i="34" s="1"/>
  <c r="I69" i="34"/>
  <c r="I85" i="34" s="1"/>
  <c r="A69" i="9"/>
  <c r="A70" i="9" s="1"/>
  <c r="A72" i="9" s="1"/>
  <c r="E151" i="2" s="1"/>
  <c r="D36" i="5"/>
  <c r="B21" i="2"/>
  <c r="B36" i="2"/>
  <c r="B39" i="2" s="1"/>
  <c r="B41" i="2" s="1"/>
  <c r="F157" i="34"/>
  <c r="F173" i="34" s="1"/>
  <c r="E93" i="2"/>
  <c r="B31" i="34"/>
  <c r="I235" i="34"/>
  <c r="H70" i="34"/>
  <c r="H86" i="34" s="1"/>
  <c r="J230" i="34"/>
  <c r="J214" i="34"/>
  <c r="J219" i="34" s="1"/>
  <c r="H157" i="34"/>
  <c r="H173" i="34" s="1"/>
  <c r="G235" i="34"/>
  <c r="J267" i="2"/>
  <c r="L267" i="2" s="1"/>
  <c r="L270" i="2" s="1"/>
  <c r="C157" i="34"/>
  <c r="C173" i="34" s="1"/>
  <c r="C235" i="34"/>
  <c r="A42" i="5"/>
  <c r="A43" i="5" s="1"/>
  <c r="A44" i="5" s="1"/>
  <c r="A47" i="5" s="1"/>
  <c r="A49" i="5" s="1"/>
  <c r="A32" i="34"/>
  <c r="B32" i="34"/>
  <c r="C156" i="34"/>
  <c r="C172" i="34" s="1"/>
  <c r="H156" i="34"/>
  <c r="H172" i="34" s="1"/>
  <c r="C69" i="34"/>
  <c r="C85" i="34" s="1"/>
  <c r="J66" i="34"/>
  <c r="J68" i="34" s="1"/>
  <c r="J84" i="34" s="1"/>
  <c r="J87" i="34" s="1"/>
  <c r="C70" i="34"/>
  <c r="C86" i="34" s="1"/>
  <c r="A57" i="39"/>
  <c r="B57" i="39"/>
  <c r="E239" i="2"/>
  <c r="J207" i="34"/>
  <c r="C210" i="34"/>
  <c r="C215" i="34" s="1"/>
  <c r="C220" i="34" s="1"/>
  <c r="C236" i="34" s="1"/>
  <c r="A54" i="11"/>
  <c r="A55" i="11" s="1"/>
  <c r="J153" i="34"/>
  <c r="J155" i="34" s="1"/>
  <c r="J171" i="34" s="1"/>
  <c r="J174" i="34" s="1"/>
  <c r="F156" i="34"/>
  <c r="F172" i="34" s="1"/>
  <c r="G156" i="34"/>
  <c r="G172" i="34" s="1"/>
  <c r="H235" i="34"/>
  <c r="E235" i="34"/>
  <c r="H69" i="34"/>
  <c r="H85" i="34" s="1"/>
  <c r="C53" i="11"/>
  <c r="D102" i="13"/>
  <c r="E102" i="13" s="1"/>
  <c r="F102" i="13" s="1"/>
  <c r="D103" i="13" s="1"/>
  <c r="G101" i="13"/>
  <c r="H249" i="2"/>
  <c r="H251" i="2"/>
  <c r="H250" i="2"/>
  <c r="H75" i="13"/>
  <c r="G75" i="20"/>
  <c r="J71" i="2"/>
  <c r="E21" i="13"/>
  <c r="E21" i="20"/>
  <c r="G48" i="11"/>
  <c r="L217" i="2"/>
  <c r="A72" i="6" l="1"/>
  <c r="A73" i="6" s="1"/>
  <c r="E94" i="2"/>
  <c r="B42" i="2"/>
  <c r="J70" i="34"/>
  <c r="J86" i="34" s="1"/>
  <c r="J161" i="2"/>
  <c r="L161" i="2" s="1"/>
  <c r="J74" i="2"/>
  <c r="L74" i="2" s="1"/>
  <c r="C55" i="11"/>
  <c r="A34" i="34"/>
  <c r="A56" i="11"/>
  <c r="C56" i="11"/>
  <c r="A60" i="39"/>
  <c r="A63" i="39" s="1"/>
  <c r="A64" i="39" s="1"/>
  <c r="A65" i="39" s="1"/>
  <c r="A66" i="39" s="1"/>
  <c r="A68" i="39" s="1"/>
  <c r="D249" i="2"/>
  <c r="J157" i="34"/>
  <c r="J173" i="34" s="1"/>
  <c r="J69" i="34"/>
  <c r="J85" i="34" s="1"/>
  <c r="A50" i="5"/>
  <c r="A51" i="5" s="1"/>
  <c r="J235" i="34"/>
  <c r="G268" i="2"/>
  <c r="J156" i="34"/>
  <c r="J172" i="34" s="1"/>
  <c r="J210" i="34"/>
  <c r="J215" i="34" s="1"/>
  <c r="J220" i="34" s="1"/>
  <c r="L261" i="2"/>
  <c r="L264" i="2" s="1"/>
  <c r="D44" i="5"/>
  <c r="D21" i="13"/>
  <c r="F21" i="13" s="1"/>
  <c r="D21" i="20"/>
  <c r="F21" i="20" s="1"/>
  <c r="H252" i="2"/>
  <c r="G102" i="13"/>
  <c r="D22" i="13"/>
  <c r="F22" i="13" s="1"/>
  <c r="L250" i="2"/>
  <c r="I250" i="2"/>
  <c r="D22" i="20"/>
  <c r="F22" i="20" s="1"/>
  <c r="E103" i="13"/>
  <c r="F103" i="13" s="1"/>
  <c r="D104" i="13" s="1"/>
  <c r="J149" i="2"/>
  <c r="J140" i="2"/>
  <c r="J150" i="2"/>
  <c r="J228" i="2"/>
  <c r="L228" i="2" s="1"/>
  <c r="L233" i="2" s="1"/>
  <c r="L235" i="2" s="1"/>
  <c r="G51" i="11"/>
  <c r="G61" i="11" s="1"/>
  <c r="M48" i="11"/>
  <c r="D23" i="13"/>
  <c r="F23" i="13" s="1"/>
  <c r="D23" i="20"/>
  <c r="F23" i="20" s="1"/>
  <c r="I251" i="2"/>
  <c r="I249" i="2" s="1"/>
  <c r="L249" i="2" s="1"/>
  <c r="G76" i="20" l="1"/>
  <c r="G77" i="20" s="1"/>
  <c r="G78" i="20" s="1"/>
  <c r="G79" i="20" s="1"/>
  <c r="D97" i="20" s="1"/>
  <c r="I98" i="20" s="1"/>
  <c r="E101" i="20" s="1"/>
  <c r="F101" i="20" s="1"/>
  <c r="D102" i="20" s="1"/>
  <c r="L251" i="2"/>
  <c r="L252" i="2" s="1"/>
  <c r="F59" i="13"/>
  <c r="H76" i="13"/>
  <c r="H77" i="13" s="1"/>
  <c r="H78" i="13" s="1"/>
  <c r="H79" i="13" s="1"/>
  <c r="D96" i="13" s="1"/>
  <c r="G59" i="20"/>
  <c r="B43" i="2"/>
  <c r="D321" i="2" s="1"/>
  <c r="L268" i="2"/>
  <c r="H268" i="2"/>
  <c r="G269" i="2"/>
  <c r="J236" i="34"/>
  <c r="A52" i="5"/>
  <c r="E95" i="2" s="1"/>
  <c r="C57" i="11"/>
  <c r="A57" i="11"/>
  <c r="A35" i="34"/>
  <c r="D51" i="5"/>
  <c r="A74" i="39"/>
  <c r="A75" i="39" s="1"/>
  <c r="B50" i="39"/>
  <c r="F24" i="13"/>
  <c r="E29" i="13" s="1"/>
  <c r="G103" i="13"/>
  <c r="J106" i="2"/>
  <c r="L106" i="2" s="1"/>
  <c r="J64" i="2"/>
  <c r="L64" i="2" s="1"/>
  <c r="F24" i="20"/>
  <c r="F29" i="20" s="1"/>
  <c r="G53" i="11"/>
  <c r="M51" i="11"/>
  <c r="E104" i="13"/>
  <c r="F104" i="13" s="1"/>
  <c r="D105" i="13" s="1"/>
  <c r="J66" i="2"/>
  <c r="L66" i="2" s="1"/>
  <c r="J110" i="2"/>
  <c r="L110" i="2" s="1"/>
  <c r="J65" i="2"/>
  <c r="L65" i="2" s="1"/>
  <c r="J102" i="2"/>
  <c r="L102" i="2" s="1"/>
  <c r="J163" i="2"/>
  <c r="L163" i="2" s="1"/>
  <c r="J67" i="2"/>
  <c r="L67" i="2" s="1"/>
  <c r="J108" i="2"/>
  <c r="L108" i="2" s="1"/>
  <c r="J147" i="2"/>
  <c r="J169" i="2"/>
  <c r="J152" i="2"/>
  <c r="L152" i="2" s="1"/>
  <c r="J76" i="2"/>
  <c r="L76" i="2" s="1"/>
  <c r="J77" i="2"/>
  <c r="L77" i="2" s="1"/>
  <c r="J75" i="2"/>
  <c r="L75" i="2" s="1"/>
  <c r="J162" i="2"/>
  <c r="L162" i="2" s="1"/>
  <c r="G63" i="11"/>
  <c r="M61" i="11"/>
  <c r="L80" i="2" l="1"/>
  <c r="L165" i="2"/>
  <c r="L70" i="2"/>
  <c r="J70" i="2" s="1"/>
  <c r="B45" i="2"/>
  <c r="B63" i="2" s="1"/>
  <c r="E45" i="2"/>
  <c r="A58" i="11"/>
  <c r="C58" i="11"/>
  <c r="L269" i="2"/>
  <c r="H269" i="2"/>
  <c r="E240" i="2"/>
  <c r="A76" i="39"/>
  <c r="B76" i="39"/>
  <c r="A36" i="34"/>
  <c r="A37" i="34" s="1"/>
  <c r="L85" i="2"/>
  <c r="M63" i="11"/>
  <c r="G65" i="11"/>
  <c r="G68" i="11" s="1"/>
  <c r="M68" i="11" s="1"/>
  <c r="M53" i="11"/>
  <c r="G55" i="11"/>
  <c r="G58" i="11" s="1"/>
  <c r="M58" i="11" s="1"/>
  <c r="G104" i="13"/>
  <c r="L83" i="2"/>
  <c r="L84" i="2"/>
  <c r="E105" i="13"/>
  <c r="F105" i="13" s="1"/>
  <c r="G178" i="2"/>
  <c r="E102" i="20"/>
  <c r="F102" i="20" s="1"/>
  <c r="D103" i="20" s="1"/>
  <c r="L87" i="2" l="1"/>
  <c r="J87" i="2" s="1"/>
  <c r="B64" i="2"/>
  <c r="B65" i="2" s="1"/>
  <c r="C75" i="13"/>
  <c r="C75" i="20"/>
  <c r="E212" i="2"/>
  <c r="B37" i="34"/>
  <c r="A38" i="34"/>
  <c r="B38" i="34"/>
  <c r="A59" i="11"/>
  <c r="A61" i="11" s="1"/>
  <c r="A62" i="11" s="1"/>
  <c r="A63" i="11" s="1"/>
  <c r="C59" i="11"/>
  <c r="D106" i="13"/>
  <c r="E106" i="13" s="1"/>
  <c r="F106" i="13" s="1"/>
  <c r="D107" i="13" s="1"/>
  <c r="G105" i="13"/>
  <c r="E103" i="20"/>
  <c r="F103" i="20" s="1"/>
  <c r="D104" i="20" s="1"/>
  <c r="J111" i="2"/>
  <c r="J109" i="2"/>
  <c r="L109" i="2" s="1"/>
  <c r="J148" i="2"/>
  <c r="L148" i="2" s="1"/>
  <c r="J173" i="2"/>
  <c r="G64" i="20"/>
  <c r="F64" i="13"/>
  <c r="G197" i="2"/>
  <c r="F35" i="20"/>
  <c r="E35" i="13"/>
  <c r="L197" i="2"/>
  <c r="B66" i="2" l="1"/>
  <c r="B67" i="2" s="1"/>
  <c r="A64" i="11"/>
  <c r="A65" i="11" s="1"/>
  <c r="A40" i="34"/>
  <c r="E104" i="20"/>
  <c r="F104" i="20" s="1"/>
  <c r="D105" i="20" s="1"/>
  <c r="E107" i="13"/>
  <c r="F107" i="13" s="1"/>
  <c r="G106" i="13"/>
  <c r="J186" i="2"/>
  <c r="L186" i="2" s="1"/>
  <c r="J183" i="2"/>
  <c r="L183" i="2" s="1"/>
  <c r="L187" i="2" s="1"/>
  <c r="J184" i="2"/>
  <c r="L184" i="2" s="1"/>
  <c r="L188" i="2" s="1"/>
  <c r="B70" i="2" l="1"/>
  <c r="B72" i="2" s="1"/>
  <c r="B73" i="2" s="1"/>
  <c r="E70" i="2"/>
  <c r="A41" i="34"/>
  <c r="C65" i="11"/>
  <c r="C66" i="11"/>
  <c r="A66" i="11"/>
  <c r="A67" i="11" s="1"/>
  <c r="D108" i="13"/>
  <c r="G107" i="13"/>
  <c r="F39" i="20"/>
  <c r="E39" i="13"/>
  <c r="E38" i="13"/>
  <c r="F38" i="20"/>
  <c r="F37" i="20"/>
  <c r="E37" i="13"/>
  <c r="E105" i="20"/>
  <c r="F105" i="20" s="1"/>
  <c r="D106" i="20" s="1"/>
  <c r="B74" i="2" l="1"/>
  <c r="B75" i="2" s="1"/>
  <c r="A68" i="11"/>
  <c r="C67" i="11"/>
  <c r="C68" i="11"/>
  <c r="A42" i="34"/>
  <c r="A43" i="34" s="1"/>
  <c r="E106" i="20"/>
  <c r="F106" i="20" s="1"/>
  <c r="D107" i="20" s="1"/>
  <c r="E108" i="13"/>
  <c r="F108" i="13" s="1"/>
  <c r="D109" i="13" s="1"/>
  <c r="E83" i="2" l="1"/>
  <c r="B76" i="2"/>
  <c r="B77" i="2" s="1"/>
  <c r="A44" i="34"/>
  <c r="B44" i="34"/>
  <c r="B43" i="34"/>
  <c r="C69" i="11"/>
  <c r="A69" i="11"/>
  <c r="G108" i="13"/>
  <c r="E107" i="20"/>
  <c r="F107" i="20" s="1"/>
  <c r="D108" i="20" s="1"/>
  <c r="E109" i="13"/>
  <c r="F109" i="13" s="1"/>
  <c r="B80" i="2" l="1"/>
  <c r="B82" i="2" s="1"/>
  <c r="B83" i="2" s="1"/>
  <c r="E80" i="2"/>
  <c r="E84" i="2"/>
  <c r="E85" i="2"/>
  <c r="A46" i="34"/>
  <c r="D110" i="13"/>
  <c r="G109" i="13"/>
  <c r="E108" i="20"/>
  <c r="F108" i="20" s="1"/>
  <c r="D109" i="20" s="1"/>
  <c r="C64" i="13" l="1"/>
  <c r="B84" i="2"/>
  <c r="B85" i="2" s="1"/>
  <c r="B87" i="2" s="1"/>
  <c r="C64" i="20"/>
  <c r="A47" i="34"/>
  <c r="E109" i="20"/>
  <c r="F109" i="20" s="1"/>
  <c r="E110" i="13"/>
  <c r="F110" i="13" s="1"/>
  <c r="E87" i="2" l="1"/>
  <c r="B90" i="2"/>
  <c r="B91" i="2" s="1"/>
  <c r="C48" i="11"/>
  <c r="A48" i="34"/>
  <c r="A49" i="34" s="1"/>
  <c r="D111" i="13"/>
  <c r="E111" i="13" s="1"/>
  <c r="F111" i="13" s="1"/>
  <c r="D112" i="13" s="1"/>
  <c r="G110" i="13"/>
  <c r="D110" i="20"/>
  <c r="B49" i="34" l="1"/>
  <c r="B92" i="2"/>
  <c r="B93" i="2" s="1"/>
  <c r="B94" i="2" s="1"/>
  <c r="B95" i="2" s="1"/>
  <c r="B96" i="2" s="1"/>
  <c r="A50" i="34"/>
  <c r="B52" i="34"/>
  <c r="B50" i="34"/>
  <c r="E110" i="20"/>
  <c r="F110" i="20" s="1"/>
  <c r="G111" i="13"/>
  <c r="E112" i="13"/>
  <c r="F112" i="13" s="1"/>
  <c r="B98" i="2" l="1"/>
  <c r="B100" i="2" s="1"/>
  <c r="B102" i="2" s="1"/>
  <c r="B104" i="2" s="1"/>
  <c r="B105" i="2" s="1"/>
  <c r="E96" i="2"/>
  <c r="A52" i="34"/>
  <c r="B53" i="34"/>
  <c r="D113" i="13"/>
  <c r="G112" i="13"/>
  <c r="D111" i="20"/>
  <c r="B106" i="2" l="1"/>
  <c r="B108" i="2" s="1"/>
  <c r="B109" i="2" s="1"/>
  <c r="B110" i="2" s="1"/>
  <c r="B111" i="2" s="1"/>
  <c r="B112" i="2" s="1"/>
  <c r="B113" i="2" s="1"/>
  <c r="B114" i="2" s="1"/>
  <c r="B116" i="2" s="1"/>
  <c r="B64" i="34"/>
  <c r="B57" i="34"/>
  <c r="A53" i="34"/>
  <c r="E111" i="20"/>
  <c r="F111" i="20" s="1"/>
  <c r="D112" i="20" s="1"/>
  <c r="E113" i="13"/>
  <c r="F113" i="13" s="1"/>
  <c r="D114" i="13" s="1"/>
  <c r="E114" i="2" l="1"/>
  <c r="B118" i="2"/>
  <c r="D317" i="2"/>
  <c r="D118" i="2"/>
  <c r="A56" i="34"/>
  <c r="B80" i="34"/>
  <c r="B203" i="34"/>
  <c r="E114" i="13"/>
  <c r="F114" i="13" s="1"/>
  <c r="E112" i="20"/>
  <c r="F112" i="20" s="1"/>
  <c r="D113" i="20" s="1"/>
  <c r="G113" i="13"/>
  <c r="C28" i="13" l="1"/>
  <c r="C28" i="20"/>
  <c r="B133" i="2"/>
  <c r="A57" i="34"/>
  <c r="A58" i="34" s="1"/>
  <c r="D115" i="13"/>
  <c r="G114" i="13"/>
  <c r="E113" i="20"/>
  <c r="F113" i="20" s="1"/>
  <c r="B134" i="2" l="1"/>
  <c r="B135" i="2" s="1"/>
  <c r="E136" i="2" s="1"/>
  <c r="A59" i="34"/>
  <c r="D114" i="20"/>
  <c r="E115" i="13"/>
  <c r="F115" i="13" s="1"/>
  <c r="B136" i="2" l="1"/>
  <c r="B137" i="2" s="1"/>
  <c r="A60" i="34"/>
  <c r="D116" i="13"/>
  <c r="G115" i="13"/>
  <c r="E114" i="20"/>
  <c r="F114" i="20" s="1"/>
  <c r="D312" i="2" l="1"/>
  <c r="B138" i="2"/>
  <c r="B139" i="2" s="1"/>
  <c r="E41" i="2"/>
  <c r="B65" i="34"/>
  <c r="A63" i="34"/>
  <c r="D115" i="20"/>
  <c r="E116" i="13"/>
  <c r="F116" i="13" s="1"/>
  <c r="D314" i="2" l="1"/>
  <c r="B140" i="2"/>
  <c r="E140" i="2"/>
  <c r="A64" i="34"/>
  <c r="D117" i="13"/>
  <c r="G116" i="13"/>
  <c r="E115" i="20"/>
  <c r="F115" i="20" s="1"/>
  <c r="E105" i="2" l="1"/>
  <c r="D311" i="2"/>
  <c r="B142" i="2"/>
  <c r="A65" i="34"/>
  <c r="D116" i="20"/>
  <c r="E116" i="20" s="1"/>
  <c r="E117" i="13"/>
  <c r="F117" i="13" s="1"/>
  <c r="B143" i="2" l="1"/>
  <c r="A66" i="34"/>
  <c r="B70" i="34" s="1"/>
  <c r="F116" i="20"/>
  <c r="D117" i="20" s="1"/>
  <c r="E117" i="20" s="1"/>
  <c r="F117" i="20" s="1"/>
  <c r="D118" i="20" s="1"/>
  <c r="D118" i="13"/>
  <c r="G117" i="13"/>
  <c r="E148" i="2" l="1"/>
  <c r="B144" i="2"/>
  <c r="B145" i="2" s="1"/>
  <c r="B146" i="2" s="1"/>
  <c r="A68" i="34"/>
  <c r="B68" i="34"/>
  <c r="B69" i="34"/>
  <c r="E118" i="20"/>
  <c r="F118" i="20" s="1"/>
  <c r="E118" i="13"/>
  <c r="F118" i="13" s="1"/>
  <c r="B147" i="2" l="1"/>
  <c r="E147" i="2"/>
  <c r="A69" i="34"/>
  <c r="D119" i="13"/>
  <c r="G118" i="13"/>
  <c r="D119" i="20"/>
  <c r="B148" i="2" l="1"/>
  <c r="B149" i="2" s="1"/>
  <c r="B150" i="2" s="1"/>
  <c r="B151" i="2" s="1"/>
  <c r="B152" i="2" s="1"/>
  <c r="B154" i="2" s="1"/>
  <c r="A70" i="34"/>
  <c r="E119" i="20"/>
  <c r="F119" i="20" s="1"/>
  <c r="D120" i="20" s="1"/>
  <c r="E119" i="13"/>
  <c r="F119" i="13" s="1"/>
  <c r="E154" i="2" l="1"/>
  <c r="D315" i="2"/>
  <c r="B156" i="2"/>
  <c r="E156" i="2"/>
  <c r="A72" i="34"/>
  <c r="A74" i="34" s="1"/>
  <c r="A75" i="34" s="1"/>
  <c r="A76" i="34" s="1"/>
  <c r="A79" i="34" s="1"/>
  <c r="D120" i="13"/>
  <c r="G119" i="13"/>
  <c r="E120" i="20"/>
  <c r="F120" i="20" s="1"/>
  <c r="D121" i="20" s="1"/>
  <c r="B157" i="2" l="1"/>
  <c r="E158" i="2" s="1"/>
  <c r="A80" i="34"/>
  <c r="B84" i="34"/>
  <c r="E121" i="20"/>
  <c r="F121" i="20" s="1"/>
  <c r="E120" i="13"/>
  <c r="F120" i="13" s="1"/>
  <c r="C48" i="13" l="1"/>
  <c r="D325" i="2"/>
  <c r="B158" i="2"/>
  <c r="B160" i="2" s="1"/>
  <c r="B161" i="2" s="1"/>
  <c r="D328" i="2"/>
  <c r="C48" i="20"/>
  <c r="E27" i="2"/>
  <c r="D330" i="2"/>
  <c r="A81" i="34"/>
  <c r="B85" i="34"/>
  <c r="D121" i="13"/>
  <c r="G120" i="13"/>
  <c r="D122" i="20"/>
  <c r="E31" i="2" l="1"/>
  <c r="C59" i="20"/>
  <c r="B162" i="2"/>
  <c r="B163" i="2" s="1"/>
  <c r="C76" i="20"/>
  <c r="C59" i="13"/>
  <c r="C76" i="13"/>
  <c r="A84" i="34"/>
  <c r="A85" i="34" s="1"/>
  <c r="A86" i="34" s="1"/>
  <c r="A87" i="34" s="1"/>
  <c r="A96" i="34" s="1"/>
  <c r="B86" i="34"/>
  <c r="E122" i="20"/>
  <c r="F122" i="20" s="1"/>
  <c r="E121" i="13"/>
  <c r="F121" i="13" s="1"/>
  <c r="B165" i="2" l="1"/>
  <c r="B167" i="2" s="1"/>
  <c r="B168" i="2" s="1"/>
  <c r="B169" i="2" s="1"/>
  <c r="B170" i="2" s="1"/>
  <c r="B171" i="2" s="1"/>
  <c r="B172" i="2" s="1"/>
  <c r="B173" i="2" s="1"/>
  <c r="B174" i="2" s="1"/>
  <c r="B176" i="2" s="1"/>
  <c r="B177" i="2" s="1"/>
  <c r="E165" i="2"/>
  <c r="B183" i="34"/>
  <c r="A97" i="34"/>
  <c r="D122" i="13"/>
  <c r="G121" i="13"/>
  <c r="D123" i="20"/>
  <c r="E174" i="2" l="1"/>
  <c r="B178" i="2"/>
  <c r="D181" i="2"/>
  <c r="A98" i="34"/>
  <c r="B184" i="34"/>
  <c r="E123" i="20"/>
  <c r="F123" i="20" s="1"/>
  <c r="D124" i="20" s="1"/>
  <c r="E122" i="13"/>
  <c r="F122" i="13" s="1"/>
  <c r="C35" i="13" l="1"/>
  <c r="C35" i="20"/>
  <c r="B179" i="2"/>
  <c r="B180" i="2" s="1"/>
  <c r="B181" i="2" s="1"/>
  <c r="A99" i="34"/>
  <c r="B185" i="34"/>
  <c r="D123" i="13"/>
  <c r="G122" i="13"/>
  <c r="E124" i="20"/>
  <c r="F124" i="20" s="1"/>
  <c r="B182" i="2" l="1"/>
  <c r="A100" i="34"/>
  <c r="A101" i="34" s="1"/>
  <c r="B186" i="34"/>
  <c r="D125" i="20"/>
  <c r="E123" i="13"/>
  <c r="F123" i="13" s="1"/>
  <c r="D124" i="13" s="1"/>
  <c r="D355" i="2" l="1"/>
  <c r="B183" i="2"/>
  <c r="E186" i="2"/>
  <c r="B150" i="34"/>
  <c r="A103" i="34"/>
  <c r="E124" i="13"/>
  <c r="F124" i="13" s="1"/>
  <c r="G123" i="13"/>
  <c r="E125" i="20"/>
  <c r="F125" i="20" s="1"/>
  <c r="B184" i="2" l="1"/>
  <c r="E187" i="2"/>
  <c r="B100" i="34"/>
  <c r="A106" i="34"/>
  <c r="A107" i="34" s="1"/>
  <c r="A108" i="34" s="1"/>
  <c r="A109" i="34" s="1"/>
  <c r="A110" i="34" s="1"/>
  <c r="A111" i="34" s="1"/>
  <c r="A112" i="34" s="1"/>
  <c r="D126" i="20"/>
  <c r="D125" i="13"/>
  <c r="G124" i="13"/>
  <c r="E188" i="2" l="1"/>
  <c r="B185" i="2"/>
  <c r="B186" i="2" s="1"/>
  <c r="B187" i="2" s="1"/>
  <c r="B188" i="2" s="1"/>
  <c r="B189" i="2" s="1"/>
  <c r="C50" i="13" s="1"/>
  <c r="B166" i="34"/>
  <c r="A115" i="34"/>
  <c r="E125" i="13"/>
  <c r="F125" i="13" s="1"/>
  <c r="D126" i="13" s="1"/>
  <c r="E126" i="20"/>
  <c r="F126" i="20" s="1"/>
  <c r="D127" i="20" s="1"/>
  <c r="B191" i="2" l="1"/>
  <c r="B193" i="2" s="1"/>
  <c r="C50" i="20"/>
  <c r="E189" i="2"/>
  <c r="A116" i="34"/>
  <c r="E127" i="20"/>
  <c r="F127" i="20" s="1"/>
  <c r="E126" i="13"/>
  <c r="F126" i="13" s="1"/>
  <c r="D127" i="13" s="1"/>
  <c r="G125" i="13"/>
  <c r="C49" i="13" l="1"/>
  <c r="E34" i="2"/>
  <c r="E185" i="2"/>
  <c r="C49" i="20"/>
  <c r="A117" i="34"/>
  <c r="A118" i="34" s="1"/>
  <c r="B195" i="2"/>
  <c r="D319" i="2"/>
  <c r="D128" i="20"/>
  <c r="E128" i="20" s="1"/>
  <c r="F128" i="20" s="1"/>
  <c r="G126" i="13"/>
  <c r="E127" i="13"/>
  <c r="F127" i="13" s="1"/>
  <c r="B118" i="34" l="1"/>
  <c r="D197" i="2"/>
  <c r="B197" i="2"/>
  <c r="B199" i="2" s="1"/>
  <c r="A119" i="34"/>
  <c r="B119" i="34"/>
  <c r="D128" i="13"/>
  <c r="G127" i="13"/>
  <c r="D129" i="20"/>
  <c r="D200" i="2" l="1"/>
  <c r="A121" i="34"/>
  <c r="E13" i="2"/>
  <c r="B212" i="2"/>
  <c r="E129" i="20"/>
  <c r="F129" i="20" s="1"/>
  <c r="E128" i="13"/>
  <c r="F128" i="13" s="1"/>
  <c r="A122" i="34" l="1"/>
  <c r="B213" i="2"/>
  <c r="B214" i="2" s="1"/>
  <c r="B215" i="2" s="1"/>
  <c r="D129" i="13"/>
  <c r="G128" i="13"/>
  <c r="D130" i="20"/>
  <c r="E215" i="2" l="1"/>
  <c r="E63" i="2"/>
  <c r="B217" i="2"/>
  <c r="B226" i="2" s="1"/>
  <c r="B227" i="2" s="1"/>
  <c r="B228" i="2" s="1"/>
  <c r="E217" i="2"/>
  <c r="A123" i="34"/>
  <c r="A124" i="34" s="1"/>
  <c r="E130" i="20"/>
  <c r="F130" i="20" s="1"/>
  <c r="E129" i="13"/>
  <c r="F129" i="13" s="1"/>
  <c r="D130" i="13" s="1"/>
  <c r="B124" i="34" l="1"/>
  <c r="B229" i="2"/>
  <c r="B231" i="2" s="1"/>
  <c r="B232" i="2" s="1"/>
  <c r="B233" i="2" s="1"/>
  <c r="B235" i="2" s="1"/>
  <c r="B238" i="2" s="1"/>
  <c r="B239" i="2" s="1"/>
  <c r="A125" i="34"/>
  <c r="B125" i="34"/>
  <c r="D131" i="20"/>
  <c r="E130" i="13"/>
  <c r="F130" i="13" s="1"/>
  <c r="D131" i="13" s="1"/>
  <c r="G129" i="13"/>
  <c r="A127" i="34" l="1"/>
  <c r="E233" i="2"/>
  <c r="B240" i="2"/>
  <c r="B241" i="2" s="1"/>
  <c r="B242" i="2" s="1"/>
  <c r="G130" i="13"/>
  <c r="E131" i="13"/>
  <c r="F131" i="13" s="1"/>
  <c r="E131" i="20"/>
  <c r="F131" i="20" s="1"/>
  <c r="D132" i="20" s="1"/>
  <c r="B243" i="2" l="1"/>
  <c r="A128" i="34"/>
  <c r="D132" i="13"/>
  <c r="G131" i="13"/>
  <c r="E132" i="20"/>
  <c r="F132" i="20" s="1"/>
  <c r="A129" i="34" l="1"/>
  <c r="A130" i="34" s="1"/>
  <c r="D250" i="2"/>
  <c r="B244" i="2"/>
  <c r="B245" i="2" s="1"/>
  <c r="B246" i="2" s="1"/>
  <c r="D133" i="20"/>
  <c r="E132" i="13"/>
  <c r="F132" i="13" s="1"/>
  <c r="D133" i="13" s="1"/>
  <c r="B130" i="34" l="1"/>
  <c r="B249" i="2"/>
  <c r="D251" i="2"/>
  <c r="E246" i="2"/>
  <c r="A131" i="34"/>
  <c r="B131" i="34"/>
  <c r="E133" i="13"/>
  <c r="F133" i="13" s="1"/>
  <c r="D134" i="13" s="1"/>
  <c r="G132" i="13"/>
  <c r="E133" i="20"/>
  <c r="F133" i="20" s="1"/>
  <c r="B250" i="2" l="1"/>
  <c r="B251" i="2" s="1"/>
  <c r="D252" i="2" s="1"/>
  <c r="A133" i="34"/>
  <c r="D134" i="20"/>
  <c r="E134" i="20" s="1"/>
  <c r="F134" i="20" s="1"/>
  <c r="E134" i="13"/>
  <c r="F134" i="13" s="1"/>
  <c r="D135" i="13" s="1"/>
  <c r="G133" i="13"/>
  <c r="D366" i="2" l="1"/>
  <c r="A134" i="34"/>
  <c r="B252" i="2"/>
  <c r="C16" i="13"/>
  <c r="C16" i="20"/>
  <c r="C19" i="20"/>
  <c r="C19" i="13"/>
  <c r="D135" i="20"/>
  <c r="E135" i="13"/>
  <c r="F135" i="13" s="1"/>
  <c r="D136" i="13" s="1"/>
  <c r="G134" i="13"/>
  <c r="B256" i="2" l="1"/>
  <c r="B257" i="2" s="1"/>
  <c r="B258" i="2" s="1"/>
  <c r="B259" i="2" s="1"/>
  <c r="B260" i="2" s="1"/>
  <c r="E191" i="2"/>
  <c r="D179" i="2"/>
  <c r="A135" i="34"/>
  <c r="A136" i="34" s="1"/>
  <c r="E136" i="13"/>
  <c r="F136" i="13" s="1"/>
  <c r="G135" i="13"/>
  <c r="E135" i="20"/>
  <c r="F135" i="20" s="1"/>
  <c r="D136" i="20" s="1"/>
  <c r="A137" i="34" l="1"/>
  <c r="B139" i="34"/>
  <c r="B137" i="34"/>
  <c r="B136" i="34"/>
  <c r="B261" i="2"/>
  <c r="B262" i="2" s="1"/>
  <c r="B263" i="2" s="1"/>
  <c r="B264" i="2" s="1"/>
  <c r="B266" i="2" s="1"/>
  <c r="B267" i="2" s="1"/>
  <c r="B268" i="2" s="1"/>
  <c r="B269" i="2" s="1"/>
  <c r="B270" i="2" s="1"/>
  <c r="D137" i="13"/>
  <c r="G136" i="13"/>
  <c r="E136" i="20"/>
  <c r="F136" i="20" s="1"/>
  <c r="E264" i="2" l="1"/>
  <c r="A139" i="34"/>
  <c r="B140" i="34"/>
  <c r="D137" i="20"/>
  <c r="E137" i="13"/>
  <c r="F137" i="13" s="1"/>
  <c r="D138" i="13" s="1"/>
  <c r="B144" i="34" l="1"/>
  <c r="A140" i="34"/>
  <c r="B151" i="34"/>
  <c r="B202" i="34"/>
  <c r="E138" i="13"/>
  <c r="F138" i="13" s="1"/>
  <c r="D139" i="13" s="1"/>
  <c r="G137" i="13"/>
  <c r="E137" i="20"/>
  <c r="F137" i="20" s="1"/>
  <c r="B167" i="34" l="1"/>
  <c r="A143" i="34"/>
  <c r="D138" i="20"/>
  <c r="E138" i="20" s="1"/>
  <c r="F138" i="20" s="1"/>
  <c r="E139" i="13"/>
  <c r="F139" i="13" s="1"/>
  <c r="G138" i="13"/>
  <c r="A144" i="34" l="1"/>
  <c r="A145" i="34" s="1"/>
  <c r="B206" i="34"/>
  <c r="D140" i="13"/>
  <c r="G139" i="13"/>
  <c r="D139" i="20"/>
  <c r="A146" i="34" l="1"/>
  <c r="B208" i="34"/>
  <c r="E139" i="20"/>
  <c r="F139" i="20" s="1"/>
  <c r="E140" i="13"/>
  <c r="F140" i="13" s="1"/>
  <c r="A147" i="34" l="1"/>
  <c r="B209" i="34"/>
  <c r="D141" i="13"/>
  <c r="G140" i="13"/>
  <c r="D140" i="20"/>
  <c r="A150" i="34" l="1"/>
  <c r="B152" i="34"/>
  <c r="E140" i="20"/>
  <c r="F140" i="20" s="1"/>
  <c r="E141" i="13"/>
  <c r="F141" i="13" s="1"/>
  <c r="A151" i="34" l="1"/>
  <c r="D142" i="13"/>
  <c r="E142" i="13" s="1"/>
  <c r="G141" i="13"/>
  <c r="D141" i="20"/>
  <c r="E141" i="20" s="1"/>
  <c r="F141" i="20" s="1"/>
  <c r="A152" i="34" l="1"/>
  <c r="F142" i="13"/>
  <c r="D143" i="13" s="1"/>
  <c r="E143" i="13" s="1"/>
  <c r="F143" i="13" s="1"/>
  <c r="D142" i="20"/>
  <c r="E142" i="20" s="1"/>
  <c r="F142" i="20" s="1"/>
  <c r="A153" i="34" l="1"/>
  <c r="B157" i="34" s="1"/>
  <c r="G142" i="13"/>
  <c r="D143" i="20"/>
  <c r="D144" i="13"/>
  <c r="G143" i="13"/>
  <c r="A155" i="34" l="1"/>
  <c r="B155" i="34"/>
  <c r="B156" i="34"/>
  <c r="E144" i="13"/>
  <c r="F144" i="13" s="1"/>
  <c r="E143" i="20"/>
  <c r="F143" i="20" s="1"/>
  <c r="A156" i="34" l="1"/>
  <c r="D144" i="20"/>
  <c r="D145" i="13"/>
  <c r="G144" i="13"/>
  <c r="A157" i="34" l="1"/>
  <c r="E145" i="13"/>
  <c r="F145" i="13" s="1"/>
  <c r="E144" i="20"/>
  <c r="F144" i="20" s="1"/>
  <c r="A159" i="34" l="1"/>
  <c r="A161" i="34" s="1"/>
  <c r="A162" i="34" s="1"/>
  <c r="A163" i="34" s="1"/>
  <c r="A166" i="34" s="1"/>
  <c r="D145" i="20"/>
  <c r="D146" i="13"/>
  <c r="G145" i="13"/>
  <c r="A167" i="34" l="1"/>
  <c r="B171" i="34"/>
  <c r="E146" i="13"/>
  <c r="F146" i="13" s="1"/>
  <c r="E145" i="20"/>
  <c r="F145" i="20" s="1"/>
  <c r="D146" i="20" s="1"/>
  <c r="A168" i="34" l="1"/>
  <c r="B172" i="34"/>
  <c r="D147" i="13"/>
  <c r="G146" i="13"/>
  <c r="E146" i="20"/>
  <c r="F146" i="20" s="1"/>
  <c r="D147" i="20" s="1"/>
  <c r="A171" i="34" l="1"/>
  <c r="A172" i="34" s="1"/>
  <c r="A173" i="34" s="1"/>
  <c r="A174" i="34" s="1"/>
  <c r="A183" i="34" s="1"/>
  <c r="A184" i="34" s="1"/>
  <c r="A185" i="34" s="1"/>
  <c r="A186" i="34" s="1"/>
  <c r="A187" i="34" s="1"/>
  <c r="A188" i="34" s="1"/>
  <c r="B173" i="34"/>
  <c r="E147" i="20"/>
  <c r="F147" i="20" s="1"/>
  <c r="E147" i="13"/>
  <c r="F147" i="13" s="1"/>
  <c r="D148" i="13" s="1"/>
  <c r="B213" i="34" l="1"/>
  <c r="A190" i="34"/>
  <c r="D148" i="20"/>
  <c r="E148" i="20" s="1"/>
  <c r="F148" i="20" s="1"/>
  <c r="D149" i="20" s="1"/>
  <c r="E148" i="13"/>
  <c r="F148" i="13" s="1"/>
  <c r="D149" i="13" s="1"/>
  <c r="G147" i="13"/>
  <c r="A193" i="34" l="1"/>
  <c r="A194" i="34" s="1"/>
  <c r="A195" i="34" s="1"/>
  <c r="A196" i="34" s="1"/>
  <c r="A197" i="34" s="1"/>
  <c r="A198" i="34" s="1"/>
  <c r="A199" i="34" s="1"/>
  <c r="B187" i="34"/>
  <c r="E149" i="20"/>
  <c r="F149" i="20" s="1"/>
  <c r="E149" i="13"/>
  <c r="F149" i="13" s="1"/>
  <c r="G148" i="13"/>
  <c r="B229" i="34" l="1"/>
  <c r="A202" i="34"/>
  <c r="E257" i="2"/>
  <c r="D150" i="20"/>
  <c r="D150" i="13"/>
  <c r="G149" i="13"/>
  <c r="B207" i="34" l="1"/>
  <c r="B214" i="34"/>
  <c r="A203" i="34"/>
  <c r="E150" i="13"/>
  <c r="F150" i="13" s="1"/>
  <c r="D151" i="13" s="1"/>
  <c r="E150" i="20"/>
  <c r="F150" i="20" s="1"/>
  <c r="E258" i="2" l="1"/>
  <c r="A206" i="34"/>
  <c r="B230" i="34"/>
  <c r="D151" i="20"/>
  <c r="E151" i="13"/>
  <c r="F151" i="13" s="1"/>
  <c r="D152" i="13" s="1"/>
  <c r="G150" i="13"/>
  <c r="A207" i="34" l="1"/>
  <c r="E260" i="2"/>
  <c r="G151" i="13"/>
  <c r="E152" i="13"/>
  <c r="F152" i="13" s="1"/>
  <c r="E151" i="20"/>
  <c r="F151" i="20" s="1"/>
  <c r="E261" i="2" l="1"/>
  <c r="A208" i="34"/>
  <c r="D152" i="20"/>
  <c r="E152" i="20" s="1"/>
  <c r="F152" i="20" s="1"/>
  <c r="D153" i="13"/>
  <c r="G152" i="13"/>
  <c r="A209" i="34" l="1"/>
  <c r="E262" i="2"/>
  <c r="D153" i="20"/>
  <c r="E153" i="13"/>
  <c r="F153" i="13" s="1"/>
  <c r="D154" i="13" s="1"/>
  <c r="A210" i="34" l="1"/>
  <c r="E263" i="2"/>
  <c r="G153" i="13"/>
  <c r="E154" i="13"/>
  <c r="F154" i="13" s="1"/>
  <c r="D155" i="13" s="1"/>
  <c r="E153" i="20"/>
  <c r="F153" i="20" s="1"/>
  <c r="B215" i="34" l="1"/>
  <c r="A213" i="34"/>
  <c r="D154" i="20"/>
  <c r="E154" i="20" s="1"/>
  <c r="F154" i="20" s="1"/>
  <c r="E155" i="13"/>
  <c r="F155" i="13" s="1"/>
  <c r="G154" i="13"/>
  <c r="D267" i="2" l="1"/>
  <c r="A214" i="34"/>
  <c r="D155" i="20"/>
  <c r="D156" i="13"/>
  <c r="G155" i="13"/>
  <c r="D268" i="2" l="1"/>
  <c r="A215" i="34"/>
  <c r="E156" i="13"/>
  <c r="F156" i="13" s="1"/>
  <c r="E155" i="20"/>
  <c r="F155" i="20" s="1"/>
  <c r="A216" i="34" l="1"/>
  <c r="D269" i="2"/>
  <c r="D156" i="20"/>
  <c r="D157" i="13"/>
  <c r="G156" i="13"/>
  <c r="D270" i="2" l="1"/>
  <c r="A218" i="34"/>
  <c r="B218" i="34"/>
  <c r="B219" i="34"/>
  <c r="B220" i="34"/>
  <c r="E157" i="13"/>
  <c r="F157" i="13" s="1"/>
  <c r="E156" i="20"/>
  <c r="F156" i="20" s="1"/>
  <c r="D157" i="20" s="1"/>
  <c r="A219" i="34" l="1"/>
  <c r="D158" i="13"/>
  <c r="G157" i="13"/>
  <c r="E157" i="20"/>
  <c r="F157" i="20" s="1"/>
  <c r="A220" i="34" l="1"/>
  <c r="D158" i="20"/>
  <c r="E158" i="13"/>
  <c r="F158" i="13" s="1"/>
  <c r="A222" i="34" l="1"/>
  <c r="A224" i="34" s="1"/>
  <c r="A225" i="34" s="1"/>
  <c r="A226" i="34" s="1"/>
  <c r="A229" i="34" s="1"/>
  <c r="D159" i="13"/>
  <c r="G158" i="13"/>
  <c r="E158" i="20"/>
  <c r="F158" i="20" s="1"/>
  <c r="A230" i="34" l="1"/>
  <c r="B234" i="34"/>
  <c r="D159" i="20"/>
  <c r="E159" i="13"/>
  <c r="E160" i="13" s="1"/>
  <c r="A231" i="34" l="1"/>
  <c r="B235" i="34"/>
  <c r="F159" i="13"/>
  <c r="G159" i="13" s="1"/>
  <c r="E159" i="20"/>
  <c r="F159" i="20" s="1"/>
  <c r="A234" i="34" l="1"/>
  <c r="A235" i="34" s="1"/>
  <c r="A236" i="34" s="1"/>
  <c r="A237" i="34" s="1"/>
  <c r="B236" i="34"/>
  <c r="D160" i="20"/>
  <c r="E160" i="20" l="1"/>
  <c r="E161" i="20" s="1"/>
  <c r="F160" i="20" l="1"/>
  <c r="E14" i="31" l="1"/>
  <c r="E17" i="11" s="1"/>
  <c r="M17" i="11" s="1"/>
  <c r="E89" i="31"/>
  <c r="E39" i="11" l="1"/>
  <c r="M39" i="11" s="1"/>
  <c r="E62" i="31" l="1"/>
  <c r="E34" i="11" s="1"/>
  <c r="M34" i="11" s="1"/>
  <c r="E98" i="31" l="1"/>
  <c r="E95" i="31"/>
  <c r="E40" i="11" s="1"/>
  <c r="M40" i="11" s="1"/>
  <c r="E86" i="31"/>
  <c r="E38" i="11" s="1"/>
  <c r="K38" i="11" s="1"/>
  <c r="E81" i="31"/>
  <c r="E37" i="11" s="1"/>
  <c r="K37" i="11" s="1"/>
  <c r="E69" i="31"/>
  <c r="E36" i="11" s="1"/>
  <c r="K36" i="11" s="1"/>
  <c r="E65" i="31"/>
  <c r="E35" i="11" s="1"/>
  <c r="K35" i="11" s="1"/>
  <c r="E54" i="31"/>
  <c r="E28" i="11" s="1"/>
  <c r="I28" i="11" s="1"/>
  <c r="E59" i="31"/>
  <c r="E31" i="11" s="1"/>
  <c r="M31" i="11" s="1"/>
  <c r="E52" i="31"/>
  <c r="E27" i="11" s="1"/>
  <c r="I27" i="11" s="1"/>
  <c r="E50" i="31"/>
  <c r="E26" i="11" s="1"/>
  <c r="I26" i="11" s="1"/>
  <c r="M43" i="11" l="1"/>
  <c r="G172" i="2" s="1"/>
  <c r="L172" i="2" s="1"/>
  <c r="K43" i="11"/>
  <c r="G173" i="2" s="1"/>
  <c r="L173" i="2" s="1"/>
  <c r="I43" i="11"/>
  <c r="G169" i="2" s="1"/>
  <c r="L169" i="2" s="1"/>
  <c r="I10" i="43" l="1"/>
  <c r="J54" i="43" l="1"/>
  <c r="E21" i="43"/>
  <c r="E22" i="43" l="1"/>
  <c r="E23" i="43" l="1"/>
  <c r="E24" i="43" l="1"/>
  <c r="E25" i="43" l="1"/>
  <c r="E26" i="43" l="1"/>
  <c r="E27" i="43" l="1"/>
  <c r="E28" i="43" l="1"/>
  <c r="E29" i="43" l="1"/>
  <c r="E30" i="43" l="1"/>
  <c r="E31" i="43" l="1"/>
  <c r="E32" i="43" l="1"/>
  <c r="I10" i="35" l="1"/>
  <c r="J54" i="35" l="1"/>
  <c r="E21" i="35"/>
  <c r="E22" i="35" l="1"/>
  <c r="E23" i="35" l="1"/>
  <c r="E24" i="35" l="1"/>
  <c r="E25" i="35" l="1"/>
  <c r="E26" i="35" l="1"/>
  <c r="E27" i="35" l="1"/>
  <c r="E28" i="35" l="1"/>
  <c r="E29" i="35" l="1"/>
  <c r="E30" i="35" l="1"/>
  <c r="E31" i="35" l="1"/>
  <c r="E32" i="35" l="1"/>
  <c r="G39" i="43" l="1"/>
  <c r="G21" i="43"/>
  <c r="G39" i="35"/>
  <c r="G21" i="35" l="1"/>
  <c r="I21" i="35" s="1"/>
  <c r="G22" i="43"/>
  <c r="I21" i="43"/>
  <c r="G40" i="43"/>
  <c r="G39" i="41"/>
  <c r="G21" i="41"/>
  <c r="G40" i="35"/>
  <c r="G22" i="35" l="1"/>
  <c r="I22" i="35" s="1"/>
  <c r="L22" i="35" s="1"/>
  <c r="G41" i="43"/>
  <c r="L21" i="43"/>
  <c r="G23" i="43"/>
  <c r="I22" i="43"/>
  <c r="L22" i="43" s="1"/>
  <c r="G22" i="41"/>
  <c r="G40" i="41"/>
  <c r="G41" i="35"/>
  <c r="L21" i="35"/>
  <c r="G23" i="35" l="1"/>
  <c r="G24" i="35" s="1"/>
  <c r="G24" i="43"/>
  <c r="I23" i="43"/>
  <c r="L23" i="43" s="1"/>
  <c r="G42" i="43"/>
  <c r="G41" i="41"/>
  <c r="G23" i="41"/>
  <c r="G42" i="35"/>
  <c r="I23" i="35" l="1"/>
  <c r="L23" i="35" s="1"/>
  <c r="G43" i="43"/>
  <c r="G25" i="43"/>
  <c r="I24" i="43"/>
  <c r="G24" i="41"/>
  <c r="G42" i="41"/>
  <c r="G43" i="35"/>
  <c r="G25" i="35"/>
  <c r="I24" i="35"/>
  <c r="L24" i="35" s="1"/>
  <c r="G26" i="43" l="1"/>
  <c r="I25" i="43"/>
  <c r="L25" i="43" s="1"/>
  <c r="L24" i="43"/>
  <c r="G44" i="43"/>
  <c r="G43" i="41"/>
  <c r="G25" i="41"/>
  <c r="G26" i="35"/>
  <c r="I25" i="35"/>
  <c r="L25" i="35" s="1"/>
  <c r="G44" i="35"/>
  <c r="G45" i="43" l="1"/>
  <c r="G27" i="43"/>
  <c r="I26" i="43"/>
  <c r="G26" i="41"/>
  <c r="G44" i="41"/>
  <c r="G45" i="35"/>
  <c r="G27" i="35"/>
  <c r="I26" i="35"/>
  <c r="G28" i="43" l="1"/>
  <c r="I27" i="43"/>
  <c r="L27" i="43" s="1"/>
  <c r="L26" i="43"/>
  <c r="G46" i="43"/>
  <c r="G45" i="41"/>
  <c r="G27" i="41"/>
  <c r="G28" i="35"/>
  <c r="I27" i="35"/>
  <c r="L27" i="35" s="1"/>
  <c r="L26" i="35"/>
  <c r="G46" i="35"/>
  <c r="G47" i="43" l="1"/>
  <c r="G29" i="43"/>
  <c r="I28" i="43"/>
  <c r="G28" i="41"/>
  <c r="G46" i="41"/>
  <c r="G47" i="35"/>
  <c r="G29" i="35"/>
  <c r="I28" i="35"/>
  <c r="L28" i="43" l="1"/>
  <c r="G30" i="43"/>
  <c r="I29" i="43"/>
  <c r="L29" i="43" s="1"/>
  <c r="G48" i="43"/>
  <c r="G47" i="41"/>
  <c r="G29" i="41"/>
  <c r="G30" i="35"/>
  <c r="I29" i="35"/>
  <c r="L29" i="35" s="1"/>
  <c r="L28" i="35"/>
  <c r="G48" i="35"/>
  <c r="G49" i="43" l="1"/>
  <c r="G31" i="43"/>
  <c r="I30" i="43"/>
  <c r="L30" i="43" s="1"/>
  <c r="G30" i="41"/>
  <c r="G48" i="41"/>
  <c r="G49" i="35"/>
  <c r="G31" i="35"/>
  <c r="I30" i="35"/>
  <c r="L30" i="35" s="1"/>
  <c r="G32" i="43" l="1"/>
  <c r="I31" i="43"/>
  <c r="L31" i="43" s="1"/>
  <c r="G50" i="43"/>
  <c r="G49" i="41"/>
  <c r="G31" i="41"/>
  <c r="G32" i="35"/>
  <c r="I31" i="35"/>
  <c r="L31" i="35" s="1"/>
  <c r="G50" i="35"/>
  <c r="G36" i="43" l="1"/>
  <c r="I32" i="43"/>
  <c r="G32" i="41"/>
  <c r="G50" i="41"/>
  <c r="G36" i="35"/>
  <c r="I32" i="35"/>
  <c r="L32" i="43" l="1"/>
  <c r="L33" i="43" s="1"/>
  <c r="E36" i="43" s="1"/>
  <c r="I36" i="43" s="1"/>
  <c r="L36" i="43" s="1"/>
  <c r="I33" i="43"/>
  <c r="G36" i="41"/>
  <c r="L32" i="35"/>
  <c r="L33" i="35" s="1"/>
  <c r="E36" i="35" s="1"/>
  <c r="I36" i="35" s="1"/>
  <c r="L36" i="35" s="1"/>
  <c r="I33" i="35"/>
  <c r="E39" i="43" l="1"/>
  <c r="J39" i="43"/>
  <c r="E39" i="35"/>
  <c r="J39" i="35"/>
  <c r="J40" i="35" s="1"/>
  <c r="J41" i="35" s="1"/>
  <c r="J42" i="35" s="1"/>
  <c r="J43" i="35" s="1"/>
  <c r="J44" i="35" s="1"/>
  <c r="J45" i="35" s="1"/>
  <c r="J46" i="35" s="1"/>
  <c r="J47" i="35" s="1"/>
  <c r="J48" i="35" s="1"/>
  <c r="J49" i="35" s="1"/>
  <c r="J50" i="35" s="1"/>
  <c r="J53" i="35" s="1"/>
  <c r="J55" i="35" l="1"/>
  <c r="J40" i="43"/>
  <c r="J41" i="43" s="1"/>
  <c r="J42" i="43" s="1"/>
  <c r="J43" i="43" s="1"/>
  <c r="J44" i="43" s="1"/>
  <c r="J45" i="43" s="1"/>
  <c r="J46" i="43" s="1"/>
  <c r="J47" i="43" s="1"/>
  <c r="J48" i="43" s="1"/>
  <c r="J49" i="43" s="1"/>
  <c r="J50" i="43" s="1"/>
  <c r="L39" i="43"/>
  <c r="E40" i="43" s="1"/>
  <c r="I39" i="43"/>
  <c r="L39" i="35"/>
  <c r="E40" i="35" s="1"/>
  <c r="I39" i="35"/>
  <c r="L40" i="43" l="1"/>
  <c r="E41" i="43" s="1"/>
  <c r="I40" i="43"/>
  <c r="J53" i="43"/>
  <c r="L40" i="35"/>
  <c r="E41" i="35" s="1"/>
  <c r="I40" i="35"/>
  <c r="J55" i="43" l="1"/>
  <c r="L41" i="43"/>
  <c r="E42" i="43" s="1"/>
  <c r="I41" i="43"/>
  <c r="L41" i="35"/>
  <c r="E42" i="35" s="1"/>
  <c r="I41" i="35"/>
  <c r="L42" i="43" l="1"/>
  <c r="E43" i="43" s="1"/>
  <c r="I42" i="43"/>
  <c r="L42" i="35"/>
  <c r="E43" i="35" s="1"/>
  <c r="I42" i="35"/>
  <c r="L43" i="43" l="1"/>
  <c r="E44" i="43" s="1"/>
  <c r="I43" i="43"/>
  <c r="L43" i="35"/>
  <c r="E44" i="35" s="1"/>
  <c r="I43" i="35"/>
  <c r="L44" i="43" l="1"/>
  <c r="E45" i="43" s="1"/>
  <c r="I44" i="43"/>
  <c r="L44" i="35"/>
  <c r="E45" i="35" s="1"/>
  <c r="I44" i="35"/>
  <c r="L45" i="43" l="1"/>
  <c r="E46" i="43" s="1"/>
  <c r="I45" i="43"/>
  <c r="L45" i="35"/>
  <c r="E46" i="35" s="1"/>
  <c r="I45" i="35"/>
  <c r="L46" i="43" l="1"/>
  <c r="E47" i="43" s="1"/>
  <c r="I46" i="43"/>
  <c r="L46" i="35"/>
  <c r="E47" i="35" s="1"/>
  <c r="I46" i="35"/>
  <c r="L47" i="43" l="1"/>
  <c r="E48" i="43" s="1"/>
  <c r="I47" i="43"/>
  <c r="L47" i="35"/>
  <c r="E48" i="35" s="1"/>
  <c r="I47" i="35"/>
  <c r="L48" i="43" l="1"/>
  <c r="E49" i="43" s="1"/>
  <c r="I48" i="43"/>
  <c r="L48" i="35"/>
  <c r="E49" i="35" s="1"/>
  <c r="I48" i="35"/>
  <c r="L49" i="43" l="1"/>
  <c r="E50" i="43" s="1"/>
  <c r="I49" i="43"/>
  <c r="L49" i="35"/>
  <c r="E50" i="35" s="1"/>
  <c r="I49" i="35"/>
  <c r="L50" i="43" l="1"/>
  <c r="I50" i="43"/>
  <c r="I51" i="43" s="1"/>
  <c r="L50" i="35"/>
  <c r="I50" i="35"/>
  <c r="I51" i="35" s="1"/>
  <c r="K17" i="8" l="1"/>
  <c r="K27" i="8" s="1"/>
  <c r="K31" i="8" s="1"/>
  <c r="G15" i="2" s="1"/>
  <c r="L15" i="2" s="1"/>
  <c r="I27" i="8"/>
  <c r="I31" i="8" s="1"/>
  <c r="J21" i="8"/>
  <c r="J17" i="8" l="1"/>
  <c r="J27" i="8" s="1"/>
  <c r="J31" i="8" s="1"/>
  <c r="I31" i="31" l="1"/>
  <c r="I30" i="31" s="1"/>
  <c r="E30" i="31"/>
  <c r="E21" i="11" s="1"/>
  <c r="G21" i="11" s="1"/>
  <c r="E40" i="31"/>
  <c r="E23" i="11" s="1"/>
  <c r="G23" i="11" s="1"/>
  <c r="I41" i="31"/>
  <c r="I40" i="31" s="1"/>
  <c r="I24" i="31"/>
  <c r="I23" i="31" s="1"/>
  <c r="E23" i="31"/>
  <c r="F101" i="31"/>
  <c r="I38" i="31"/>
  <c r="I37" i="31" s="1"/>
  <c r="E37" i="31"/>
  <c r="E22" i="11" s="1"/>
  <c r="G22" i="11" s="1"/>
  <c r="E20" i="11" l="1"/>
  <c r="E22" i="31"/>
  <c r="I22" i="31"/>
  <c r="L171" i="2" s="1"/>
  <c r="L174" i="2" s="1"/>
  <c r="G171" i="2" l="1"/>
  <c r="G174" i="2" s="1"/>
  <c r="E101" i="31"/>
  <c r="G20" i="11"/>
  <c r="G43" i="11" s="1"/>
  <c r="E43" i="11"/>
  <c r="E68" i="9" l="1"/>
  <c r="E69" i="9"/>
  <c r="E67" i="9" l="1"/>
  <c r="D72" i="9" l="1"/>
  <c r="F72" i="9" l="1"/>
  <c r="G151" i="2" s="1"/>
  <c r="E70" i="9"/>
  <c r="E72" i="9" s="1"/>
  <c r="L151" i="2" l="1"/>
  <c r="E44" i="5" l="1"/>
  <c r="G36" i="5" l="1"/>
  <c r="I17" i="5"/>
  <c r="I43" i="5"/>
  <c r="I33" i="5"/>
  <c r="G93" i="2" s="1"/>
  <c r="I41" i="5" l="1"/>
  <c r="G94" i="2" s="1"/>
  <c r="G44" i="5"/>
  <c r="G91" i="2"/>
  <c r="G20" i="5"/>
  <c r="I44" i="5" l="1"/>
  <c r="L94" i="2" s="1"/>
  <c r="G28" i="5"/>
  <c r="I25" i="5"/>
  <c r="G92" i="2" s="1"/>
  <c r="G96" i="2" s="1"/>
  <c r="E20" i="5" l="1"/>
  <c r="I19" i="5"/>
  <c r="I20" i="5" s="1"/>
  <c r="L91" i="2" s="1"/>
  <c r="I35" i="5"/>
  <c r="I36" i="5" s="1"/>
  <c r="L93" i="2" s="1"/>
  <c r="E36" i="5"/>
  <c r="E28" i="5" l="1"/>
  <c r="I27" i="5"/>
  <c r="I28" i="5" s="1"/>
  <c r="L92" i="2" s="1"/>
  <c r="L96" i="2" s="1"/>
  <c r="I10" i="41" l="1"/>
  <c r="E21" i="41" s="1"/>
  <c r="J54" i="41" l="1"/>
  <c r="E22" i="41"/>
  <c r="I21" i="41"/>
  <c r="L21" i="41" l="1"/>
  <c r="E23" i="41"/>
  <c r="I22" i="41"/>
  <c r="L22" i="41" s="1"/>
  <c r="E24" i="41" l="1"/>
  <c r="I23" i="41"/>
  <c r="L23" i="41" s="1"/>
  <c r="E25" i="41" l="1"/>
  <c r="I24" i="41"/>
  <c r="L24" i="41" l="1"/>
  <c r="E26" i="41"/>
  <c r="I25" i="41"/>
  <c r="L25" i="41" s="1"/>
  <c r="E27" i="41" l="1"/>
  <c r="I26" i="41"/>
  <c r="L26" i="41" l="1"/>
  <c r="E28" i="41"/>
  <c r="I27" i="41"/>
  <c r="L27" i="41" s="1"/>
  <c r="E29" i="41" l="1"/>
  <c r="I28" i="41"/>
  <c r="L28" i="41" s="1"/>
  <c r="E30" i="41" l="1"/>
  <c r="I29" i="41"/>
  <c r="L29" i="41" s="1"/>
  <c r="E31" i="41" l="1"/>
  <c r="I30" i="41"/>
  <c r="L30" i="41" s="1"/>
  <c r="E32" i="41" l="1"/>
  <c r="I32" i="41" s="1"/>
  <c r="I31" i="41"/>
  <c r="L31" i="41" s="1"/>
  <c r="L32" i="41" l="1"/>
  <c r="L33" i="41" s="1"/>
  <c r="E36" i="41" s="1"/>
  <c r="I36" i="41" s="1"/>
  <c r="L36" i="41" s="1"/>
  <c r="I33" i="41"/>
  <c r="J39" i="41" l="1"/>
  <c r="J40" i="41" s="1"/>
  <c r="J41" i="41" s="1"/>
  <c r="J42" i="41" s="1"/>
  <c r="J43" i="41" s="1"/>
  <c r="J44" i="41" s="1"/>
  <c r="J45" i="41" s="1"/>
  <c r="J46" i="41" s="1"/>
  <c r="J47" i="41" s="1"/>
  <c r="J48" i="41" s="1"/>
  <c r="J49" i="41" s="1"/>
  <c r="J50" i="41" s="1"/>
  <c r="J53" i="41" s="1"/>
  <c r="E39" i="41"/>
  <c r="J55" i="41" l="1"/>
  <c r="I39" i="41"/>
  <c r="L39" i="41"/>
  <c r="E40" i="41" s="1"/>
  <c r="I40" i="41" l="1"/>
  <c r="L40" i="41"/>
  <c r="E41" i="41" s="1"/>
  <c r="L41" i="41" l="1"/>
  <c r="E42" i="41" s="1"/>
  <c r="I41" i="41"/>
  <c r="L42" i="41" l="1"/>
  <c r="E43" i="41" s="1"/>
  <c r="I42" i="41"/>
  <c r="L43" i="41" l="1"/>
  <c r="E44" i="41" s="1"/>
  <c r="I43" i="41"/>
  <c r="L44" i="41" l="1"/>
  <c r="E45" i="41" s="1"/>
  <c r="I44" i="41"/>
  <c r="L45" i="41" l="1"/>
  <c r="E46" i="41" s="1"/>
  <c r="I45" i="41"/>
  <c r="L46" i="41" l="1"/>
  <c r="E47" i="41" s="1"/>
  <c r="I46" i="41"/>
  <c r="I47" i="41" l="1"/>
  <c r="L47" i="41"/>
  <c r="E48" i="41" s="1"/>
  <c r="L48" i="41" l="1"/>
  <c r="E49" i="41" s="1"/>
  <c r="I48" i="41"/>
  <c r="I49" i="41" l="1"/>
  <c r="L49" i="41"/>
  <c r="E50" i="41" s="1"/>
  <c r="L50" i="41" l="1"/>
  <c r="I50" i="41"/>
  <c r="I51" i="41" s="1"/>
  <c r="I66" i="6" l="1"/>
  <c r="K66" i="6" s="1"/>
  <c r="E66" i="6" s="1"/>
  <c r="I42" i="6"/>
  <c r="K42" i="6" s="1"/>
  <c r="E42" i="6" s="1"/>
  <c r="I65" i="6" l="1"/>
  <c r="D81" i="6"/>
  <c r="D32" i="6" s="1"/>
  <c r="I41" i="6"/>
  <c r="D57" i="6"/>
  <c r="D31" i="6" s="1"/>
  <c r="D33" i="6" l="1"/>
  <c r="I57" i="6"/>
  <c r="I31" i="6" s="1"/>
  <c r="K41" i="6"/>
  <c r="I81" i="6"/>
  <c r="I32" i="6" s="1"/>
  <c r="K65" i="6"/>
  <c r="K81" i="6" l="1"/>
  <c r="K32" i="6" s="1"/>
  <c r="E65" i="6"/>
  <c r="E81" i="6" s="1"/>
  <c r="E32" i="6" s="1"/>
  <c r="I33" i="6"/>
  <c r="G111" i="2" s="1"/>
  <c r="K57" i="6"/>
  <c r="K31" i="6" s="1"/>
  <c r="E41" i="6"/>
  <c r="E57" i="6" s="1"/>
  <c r="E31" i="6" s="1"/>
  <c r="L111" i="2" l="1"/>
  <c r="E33" i="6"/>
  <c r="G113" i="2" s="1"/>
  <c r="L113" i="2" s="1"/>
  <c r="K33" i="6"/>
  <c r="L43" i="2" l="1"/>
  <c r="L42" i="2"/>
  <c r="D64" i="9" l="1"/>
  <c r="D33" i="9"/>
  <c r="G137" i="2" s="1"/>
  <c r="L41" i="2" s="1"/>
  <c r="D44" i="9"/>
  <c r="G147" i="2" s="1"/>
  <c r="L45" i="2" l="1"/>
  <c r="G140" i="2"/>
  <c r="L140" i="2" s="1"/>
  <c r="L105" i="2" s="1"/>
  <c r="L114" i="2" s="1"/>
  <c r="L118" i="2" s="1"/>
  <c r="F44" i="9"/>
  <c r="G149" i="2" s="1"/>
  <c r="L149" i="2" s="1"/>
  <c r="F64" i="9"/>
  <c r="G150" i="2" s="1"/>
  <c r="L150" i="2" s="1"/>
  <c r="L147" i="2"/>
  <c r="G105" i="2" l="1"/>
  <c r="G114" i="2" s="1"/>
  <c r="G118" i="2" s="1"/>
  <c r="G191" i="2" s="1"/>
  <c r="G185" i="2" s="1"/>
  <c r="G189" i="2" s="1"/>
  <c r="G154" i="2"/>
  <c r="G156" i="2" s="1"/>
  <c r="G158" i="2" s="1"/>
  <c r="G199" i="2" s="1"/>
  <c r="L154" i="2"/>
  <c r="L156" i="2" s="1"/>
  <c r="L158" i="2" s="1"/>
  <c r="E64" i="9"/>
  <c r="F28" i="20"/>
  <c r="F30" i="20" s="1"/>
  <c r="L191" i="2"/>
  <c r="E28" i="13"/>
  <c r="E30" i="13" s="1"/>
  <c r="E44" i="9"/>
  <c r="F56" i="13" l="1"/>
  <c r="E34" i="13"/>
  <c r="E36" i="13" s="1"/>
  <c r="E40" i="13" s="1"/>
  <c r="F57" i="13" s="1"/>
  <c r="G49" i="20"/>
  <c r="F49" i="13"/>
  <c r="L185" i="2"/>
  <c r="L189" i="2" s="1"/>
  <c r="F50" i="13" s="1"/>
  <c r="G56" i="20"/>
  <c r="F34" i="20"/>
  <c r="F36" i="20" s="1"/>
  <c r="F40" i="20" s="1"/>
  <c r="G50" i="20" l="1"/>
  <c r="G57" i="20"/>
  <c r="L199" i="2"/>
  <c r="L13" i="2" s="1"/>
  <c r="F47" i="13" l="1"/>
  <c r="F51" i="13" s="1"/>
  <c r="F55" i="13" s="1"/>
  <c r="F58" i="13" s="1"/>
  <c r="L31" i="2"/>
  <c r="G47" i="20"/>
  <c r="G51" i="20" s="1"/>
  <c r="G55" i="20" s="1"/>
  <c r="G58" i="20" s="1"/>
  <c r="L27" i="2"/>
  <c r="L28" i="2" s="1"/>
  <c r="L34" i="2"/>
  <c r="L18" i="2"/>
  <c r="G65" i="20" l="1"/>
  <c r="G66" i="20" s="1"/>
  <c r="G60" i="20"/>
  <c r="G68" i="20" s="1"/>
  <c r="G69" i="20" s="1"/>
  <c r="F70" i="13"/>
  <c r="J95" i="13" s="1"/>
  <c r="G70" i="20"/>
  <c r="I96" i="20" s="1"/>
  <c r="F60" i="13"/>
  <c r="F68" i="13" s="1"/>
  <c r="F69" i="13" s="1"/>
  <c r="F65" i="13"/>
  <c r="F66" i="13" s="1"/>
  <c r="F71" i="13" l="1"/>
  <c r="G121" i="20"/>
  <c r="G108" i="20"/>
  <c r="G133" i="20"/>
  <c r="G122" i="20"/>
  <c r="G141" i="20"/>
  <c r="G110" i="20"/>
  <c r="G130" i="20"/>
  <c r="G111" i="20"/>
  <c r="N88" i="20" s="1"/>
  <c r="G158" i="20"/>
  <c r="G101" i="20"/>
  <c r="G116" i="20"/>
  <c r="G128" i="20"/>
  <c r="G112" i="20"/>
  <c r="G157" i="20"/>
  <c r="G148" i="20"/>
  <c r="G109" i="20"/>
  <c r="G151" i="20"/>
  <c r="G137" i="20"/>
  <c r="G139" i="20"/>
  <c r="G107" i="20"/>
  <c r="G150" i="20"/>
  <c r="G154" i="20"/>
  <c r="G117" i="20"/>
  <c r="I97" i="20"/>
  <c r="G134" i="20"/>
  <c r="G114" i="20"/>
  <c r="G127" i="20"/>
  <c r="G129" i="20"/>
  <c r="G125" i="20"/>
  <c r="G103" i="20"/>
  <c r="G115" i="20"/>
  <c r="G144" i="20"/>
  <c r="G123" i="20"/>
  <c r="G104" i="20"/>
  <c r="G142" i="20"/>
  <c r="G153" i="20"/>
  <c r="G145" i="20"/>
  <c r="G138" i="20"/>
  <c r="G126" i="20"/>
  <c r="G149" i="20"/>
  <c r="G132" i="20"/>
  <c r="G156" i="20"/>
  <c r="G119" i="20"/>
  <c r="G113" i="20"/>
  <c r="G159" i="20"/>
  <c r="G136" i="20"/>
  <c r="G105" i="20"/>
  <c r="G131" i="20"/>
  <c r="G120" i="20"/>
  <c r="G160" i="20"/>
  <c r="G140" i="20"/>
  <c r="G106" i="20"/>
  <c r="G124" i="20"/>
  <c r="G143" i="20"/>
  <c r="G146" i="20"/>
  <c r="G147" i="20"/>
  <c r="G135" i="20"/>
  <c r="G118" i="20"/>
  <c r="G155" i="20"/>
  <c r="G152" i="20"/>
  <c r="G102" i="20"/>
  <c r="H116" i="13"/>
  <c r="H115" i="13"/>
  <c r="H136" i="13"/>
  <c r="H150" i="13"/>
  <c r="H110" i="13"/>
  <c r="H102" i="13"/>
  <c r="H147" i="13"/>
  <c r="H103" i="13"/>
  <c r="H159" i="13"/>
  <c r="H133" i="13"/>
  <c r="J96" i="13"/>
  <c r="H113" i="13"/>
  <c r="H101" i="13"/>
  <c r="H131" i="13"/>
  <c r="H107" i="13"/>
  <c r="H128" i="13"/>
  <c r="H145" i="13"/>
  <c r="H117" i="13"/>
  <c r="H125" i="13"/>
  <c r="H123" i="13"/>
  <c r="H122" i="13"/>
  <c r="H138" i="13"/>
  <c r="H144" i="13"/>
  <c r="H105" i="13"/>
  <c r="H106" i="13"/>
  <c r="H104" i="13"/>
  <c r="H141" i="13"/>
  <c r="H129" i="13"/>
  <c r="H154" i="13"/>
  <c r="H155" i="13"/>
  <c r="H142" i="13"/>
  <c r="H132" i="13"/>
  <c r="H149" i="13"/>
  <c r="H137" i="13"/>
  <c r="H114" i="13"/>
  <c r="H143" i="13"/>
  <c r="H109" i="13"/>
  <c r="H148" i="13"/>
  <c r="H153" i="13"/>
  <c r="H151" i="13"/>
  <c r="H130" i="13"/>
  <c r="H152" i="13"/>
  <c r="H119" i="13"/>
  <c r="H118" i="13"/>
  <c r="H100" i="13"/>
  <c r="H112" i="13"/>
  <c r="H127" i="13"/>
  <c r="H121" i="13"/>
  <c r="H158" i="13"/>
  <c r="H140" i="13"/>
  <c r="H108" i="13"/>
  <c r="H156" i="13"/>
  <c r="H157" i="13"/>
  <c r="H124" i="13"/>
  <c r="H120" i="13"/>
  <c r="H126" i="13"/>
  <c r="H146" i="13"/>
  <c r="H111" i="13"/>
  <c r="H134" i="13"/>
  <c r="H139" i="13"/>
  <c r="H135" i="13"/>
  <c r="G71" i="20"/>
  <c r="M26" i="20" l="1"/>
  <c r="G24" i="2" s="1"/>
  <c r="L24" i="2" s="1"/>
  <c r="H160" i="13"/>
  <c r="G161" i="20"/>
  <c r="H147" i="20"/>
  <c r="I147" i="20" s="1"/>
  <c r="H123" i="20"/>
  <c r="I123" i="20" s="1"/>
  <c r="H101" i="20"/>
  <c r="H139" i="20"/>
  <c r="I139" i="20" s="1"/>
  <c r="H105" i="20"/>
  <c r="I105" i="20" s="1"/>
  <c r="H128" i="20"/>
  <c r="I128" i="20" s="1"/>
  <c r="H112" i="20"/>
  <c r="I112" i="20" s="1"/>
  <c r="H154" i="20"/>
  <c r="I154" i="20" s="1"/>
  <c r="H159" i="20"/>
  <c r="I159" i="20" s="1"/>
  <c r="H124" i="20"/>
  <c r="I124" i="20" s="1"/>
  <c r="H102" i="20"/>
  <c r="I102" i="20" s="1"/>
  <c r="H117" i="20"/>
  <c r="I117" i="20" s="1"/>
  <c r="H135" i="20"/>
  <c r="I135" i="20" s="1"/>
  <c r="H104" i="20"/>
  <c r="I104" i="20" s="1"/>
  <c r="H107" i="20"/>
  <c r="I107" i="20" s="1"/>
  <c r="H129" i="20"/>
  <c r="I129" i="20" s="1"/>
  <c r="H126" i="20"/>
  <c r="I126" i="20" s="1"/>
  <c r="H116" i="20"/>
  <c r="I116" i="20" s="1"/>
  <c r="H142" i="20"/>
  <c r="I142" i="20" s="1"/>
  <c r="H111" i="20"/>
  <c r="H153" i="20"/>
  <c r="I153" i="20" s="1"/>
  <c r="H145" i="20"/>
  <c r="I145" i="20" s="1"/>
  <c r="H106" i="20"/>
  <c r="I106" i="20" s="1"/>
  <c r="H127" i="20"/>
  <c r="I127" i="20" s="1"/>
  <c r="H115" i="20"/>
  <c r="I115" i="20" s="1"/>
  <c r="H103" i="20"/>
  <c r="I103" i="20" s="1"/>
  <c r="H133" i="20"/>
  <c r="I133" i="20" s="1"/>
  <c r="H113" i="20"/>
  <c r="I113" i="20" s="1"/>
  <c r="H150" i="20"/>
  <c r="I150" i="20" s="1"/>
  <c r="H156" i="20"/>
  <c r="I156" i="20" s="1"/>
  <c r="H108" i="20"/>
  <c r="I108" i="20" s="1"/>
  <c r="H160" i="20"/>
  <c r="I160" i="20" s="1"/>
  <c r="H157" i="20"/>
  <c r="I157" i="20" s="1"/>
  <c r="H148" i="20"/>
  <c r="I148" i="20" s="1"/>
  <c r="H141" i="20"/>
  <c r="I141" i="20" s="1"/>
  <c r="H134" i="20"/>
  <c r="I134" i="20" s="1"/>
  <c r="H151" i="20"/>
  <c r="I151" i="20" s="1"/>
  <c r="H136" i="20"/>
  <c r="I136" i="20" s="1"/>
  <c r="H109" i="20"/>
  <c r="I109" i="20" s="1"/>
  <c r="H125" i="20"/>
  <c r="I125" i="20" s="1"/>
  <c r="H121" i="20"/>
  <c r="I121" i="20" s="1"/>
  <c r="H158" i="20"/>
  <c r="I158" i="20" s="1"/>
  <c r="H118" i="20"/>
  <c r="I118" i="20" s="1"/>
  <c r="H138" i="20"/>
  <c r="I138" i="20" s="1"/>
  <c r="H132" i="20"/>
  <c r="I132" i="20" s="1"/>
  <c r="H137" i="20"/>
  <c r="I137" i="20" s="1"/>
  <c r="H131" i="20"/>
  <c r="I131" i="20" s="1"/>
  <c r="H110" i="20"/>
  <c r="I110" i="20" s="1"/>
  <c r="H144" i="20"/>
  <c r="I144" i="20" s="1"/>
  <c r="H149" i="20"/>
  <c r="I149" i="20" s="1"/>
  <c r="H146" i="20"/>
  <c r="I146" i="20" s="1"/>
  <c r="H152" i="20"/>
  <c r="I152" i="20" s="1"/>
  <c r="H140" i="20"/>
  <c r="I140" i="20" s="1"/>
  <c r="H120" i="20"/>
  <c r="I120" i="20" s="1"/>
  <c r="H130" i="20"/>
  <c r="I130" i="20" s="1"/>
  <c r="H122" i="20"/>
  <c r="I122" i="20" s="1"/>
  <c r="H155" i="20"/>
  <c r="I155" i="20" s="1"/>
  <c r="H114" i="20"/>
  <c r="I114" i="20" s="1"/>
  <c r="H143" i="20"/>
  <c r="I143" i="20" s="1"/>
  <c r="H119" i="20"/>
  <c r="I119" i="20" s="1"/>
  <c r="I140" i="13"/>
  <c r="J140" i="13" s="1"/>
  <c r="I116" i="13"/>
  <c r="J116" i="13" s="1"/>
  <c r="I110" i="13"/>
  <c r="J110" i="13" s="1"/>
  <c r="I151" i="13"/>
  <c r="J151" i="13" s="1"/>
  <c r="I141" i="13"/>
  <c r="J141" i="13" s="1"/>
  <c r="I134" i="13"/>
  <c r="J134" i="13" s="1"/>
  <c r="I112" i="13"/>
  <c r="J112" i="13" s="1"/>
  <c r="I146" i="13"/>
  <c r="J146" i="13" s="1"/>
  <c r="I133" i="13"/>
  <c r="J133" i="13" s="1"/>
  <c r="I119" i="13"/>
  <c r="J119" i="13" s="1"/>
  <c r="I142" i="13"/>
  <c r="J142" i="13" s="1"/>
  <c r="I136" i="13"/>
  <c r="J136" i="13" s="1"/>
  <c r="I144" i="13"/>
  <c r="J144" i="13" s="1"/>
  <c r="I100" i="13"/>
  <c r="I153" i="13"/>
  <c r="J153" i="13" s="1"/>
  <c r="I124" i="13"/>
  <c r="J124" i="13" s="1"/>
  <c r="I139" i="13"/>
  <c r="J139" i="13" s="1"/>
  <c r="I131" i="13"/>
  <c r="J131" i="13" s="1"/>
  <c r="I158" i="13"/>
  <c r="J158" i="13" s="1"/>
  <c r="I132" i="13"/>
  <c r="J132" i="13" s="1"/>
  <c r="I118" i="13"/>
  <c r="J118" i="13" s="1"/>
  <c r="I101" i="13"/>
  <c r="J101" i="13" s="1"/>
  <c r="I108" i="13"/>
  <c r="J108" i="13" s="1"/>
  <c r="I117" i="13"/>
  <c r="J117" i="13" s="1"/>
  <c r="I143" i="13"/>
  <c r="J143" i="13" s="1"/>
  <c r="I113" i="13"/>
  <c r="J113" i="13" s="1"/>
  <c r="I137" i="13"/>
  <c r="J137" i="13" s="1"/>
  <c r="I107" i="13"/>
  <c r="J107" i="13" s="1"/>
  <c r="I138" i="13"/>
  <c r="J138" i="13" s="1"/>
  <c r="I111" i="13"/>
  <c r="J111" i="13" s="1"/>
  <c r="I115" i="13"/>
  <c r="J115" i="13" s="1"/>
  <c r="I128" i="13"/>
  <c r="J128" i="13" s="1"/>
  <c r="I145" i="13"/>
  <c r="J145" i="13" s="1"/>
  <c r="I155" i="13"/>
  <c r="J155" i="13" s="1"/>
  <c r="I121" i="13"/>
  <c r="J121" i="13" s="1"/>
  <c r="I147" i="13"/>
  <c r="J147" i="13" s="1"/>
  <c r="I157" i="13"/>
  <c r="J157" i="13" s="1"/>
  <c r="I106" i="13"/>
  <c r="J106" i="13" s="1"/>
  <c r="I156" i="13"/>
  <c r="J156" i="13" s="1"/>
  <c r="I109" i="13"/>
  <c r="J109" i="13" s="1"/>
  <c r="I152" i="13"/>
  <c r="J152" i="13" s="1"/>
  <c r="I120" i="13"/>
  <c r="J120" i="13" s="1"/>
  <c r="I102" i="13"/>
  <c r="J102" i="13" s="1"/>
  <c r="I103" i="13"/>
  <c r="J103" i="13" s="1"/>
  <c r="I129" i="13"/>
  <c r="J129" i="13" s="1"/>
  <c r="I122" i="13"/>
  <c r="J122" i="13" s="1"/>
  <c r="I123" i="13"/>
  <c r="J123" i="13" s="1"/>
  <c r="I104" i="13"/>
  <c r="J104" i="13" s="1"/>
  <c r="I105" i="13"/>
  <c r="J105" i="13" s="1"/>
  <c r="I150" i="13"/>
  <c r="J150" i="13" s="1"/>
  <c r="I130" i="13"/>
  <c r="J130" i="13" s="1"/>
  <c r="I125" i="13"/>
  <c r="J125" i="13" s="1"/>
  <c r="I135" i="13"/>
  <c r="J135" i="13" s="1"/>
  <c r="I126" i="13"/>
  <c r="J126" i="13" s="1"/>
  <c r="I154" i="13"/>
  <c r="J154" i="13" s="1"/>
  <c r="I159" i="13"/>
  <c r="J159" i="13" s="1"/>
  <c r="I148" i="13"/>
  <c r="J148" i="13" s="1"/>
  <c r="I114" i="13"/>
  <c r="J114" i="13" s="1"/>
  <c r="I127" i="13"/>
  <c r="J127" i="13" s="1"/>
  <c r="I149" i="13"/>
  <c r="J149" i="13" s="1"/>
  <c r="I111" i="20" l="1"/>
  <c r="N89" i="20"/>
  <c r="J100" i="13"/>
  <c r="J160" i="13" s="1"/>
  <c r="I160" i="13"/>
  <c r="I101" i="20"/>
  <c r="H161" i="20"/>
  <c r="I161" i="20" l="1"/>
  <c r="N90" i="20"/>
  <c r="N26" i="20"/>
  <c r="O26" i="20" s="1"/>
  <c r="L36" i="2" s="1"/>
</calcChain>
</file>

<file path=xl/sharedStrings.xml><?xml version="1.0" encoding="utf-8"?>
<sst xmlns="http://schemas.openxmlformats.org/spreadsheetml/2006/main" count="1822" uniqueCount="971">
  <si>
    <t>Other Adjustments</t>
  </si>
  <si>
    <t xml:space="preserve">           Acct. 928 - Transmission Specific</t>
  </si>
  <si>
    <t>FERC FORM 1</t>
  </si>
  <si>
    <t>Tie-Back</t>
  </si>
  <si>
    <t>FERC FORM 1 Reference</t>
  </si>
  <si>
    <t xml:space="preserve">NOTE 1: The detail of each total company number and its source in the FERC Form 1 is shown on WS H-1. </t>
  </si>
  <si>
    <t>In order to calculate the proper monthly RTEP billing amount, PJM requires a 12 month revenue requirement for each RTEP project.  As a result, notwithstanding the fact that the project was in service for a partial year, the project revenue requirement in the year that the project goes into service has been annualized (shown at the full-year level) so that PJM will collect the correct monthly billings.</t>
  </si>
  <si>
    <t>General Plant and Administrative &amp; General expenses, other than in accounts 924, 928, and 930, will be functionalized  based on the Wages &amp; Salaries "W/S" allocator. The allocation basis for accounts 924, 928 and 930 are separately presented in the formula. A change in the allocation method for an account must be approved via a 205 filing with the FERC.</t>
  </si>
  <si>
    <t>FF1, page 219, ln 28, Col. (b)</t>
  </si>
  <si>
    <t xml:space="preserve">Account 450, Forfeited Discounts  (FF1 p.300.16.(b); Company Records - Note 1) </t>
  </si>
  <si>
    <t xml:space="preserve">Account 451,Miscellaneous Service Revenues  (FF1 p.300.17.(b); Company Records - Note 1) </t>
  </si>
  <si>
    <t xml:space="preserve">Account 454, Rent from Electric Property (FF1 p.300.19.(b); Company Records - Note 1) </t>
  </si>
  <si>
    <r>
      <t>Accounts  4470004 &amp; 5, Revenues from Grandfathered Transmission Contracts</t>
    </r>
    <r>
      <rPr>
        <b/>
        <sz val="10"/>
        <rFont val="Arial"/>
        <family val="2"/>
      </rPr>
      <t xml:space="preserve"> - (Company Records - Note 1)</t>
    </r>
  </si>
  <si>
    <t xml:space="preserve">**  This is the total amount that needs to be reported to PJM for billing to all regions. </t>
  </si>
  <si>
    <r>
      <t xml:space="preserve">## </t>
    </r>
    <r>
      <rPr>
        <b/>
        <sz val="10"/>
        <rFont val="Arial"/>
        <family val="2"/>
      </rPr>
      <t>This is the calculation of  additional incentive revenue on projects deemed by the FERC to be eligible for an incentive return.  This</t>
    </r>
  </si>
  <si>
    <t>Requirement ##</t>
  </si>
  <si>
    <t>Note: Gain or loss on plant held for future are recorded in accounts 411.6 or 411.7 respectiviely.  Sales will be funtionalized based on the description of that asset. Sales of transmission assets will be direct assigned; sales of general assets will be functionalized on labor.  Sales of plant held for future use related to generation or distribution will not be included in the formula.</t>
  </si>
  <si>
    <t>Senior Unsecured Notes (112.21.c&amp;d) Excludes Spent Nuc Fuel Disp Fund</t>
  </si>
  <si>
    <t>the percentage of federal income tax deductible for state income taxes.  See Worksheet G for the development of the Company's composite SIT.</t>
  </si>
  <si>
    <t>A utility that elected to utilize amortization of tax credits against taxable income, rather than book tax credits to Account No. 255 and reduce rate base, must reduce its income tax</t>
  </si>
  <si>
    <t>expense by the amount of the Amortized Investment Tax Credit (Form 1, 266.8.f)</t>
  </si>
  <si>
    <t>Regulatory Assets and Liabilities Approved for Recovery In Ratebase</t>
  </si>
  <si>
    <t xml:space="preserve"> Worksheet E Supporting Revenue Credits</t>
  </si>
  <si>
    <t>LT Advances from Assoc. Companies  (112.20.c&amp;d)</t>
  </si>
  <si>
    <t xml:space="preserve"> Worksheet N - Gains (Losses) on Sales of Plant Held For Future Use</t>
  </si>
  <si>
    <t xml:space="preserve">           Acct 930.1 - Only safety related ads -Direct</t>
  </si>
  <si>
    <t xml:space="preserve">           Acct 930.2 - Misc Gen. Exp. - Trans</t>
  </si>
  <si>
    <t>Development of Common Stock:</t>
  </si>
  <si>
    <t xml:space="preserve">Proprietary Capital </t>
  </si>
  <si>
    <t>Common Stock</t>
  </si>
  <si>
    <t>The total-company balances shown for Accounts 281, 282, 283, 190 only reflect ADIT that relates to utility operations. The balance of Account 255 is reduced by prior flow</t>
  </si>
  <si>
    <t>N</t>
  </si>
  <si>
    <t xml:space="preserve">  Customer Related Expense</t>
  </si>
  <si>
    <t>PLANT</t>
  </si>
  <si>
    <t>ACCT.</t>
  </si>
  <si>
    <t>RATES</t>
  </si>
  <si>
    <t xml:space="preserve"> TRANSMISSION PLANT</t>
  </si>
  <si>
    <t xml:space="preserve">  Structures &amp; Improvements</t>
  </si>
  <si>
    <t xml:space="preserve">  Station Equipment</t>
  </si>
  <si>
    <t xml:space="preserve">  Towers &amp; Fixtures</t>
  </si>
  <si>
    <t xml:space="preserve">  Poles &amp; Fixtures</t>
  </si>
  <si>
    <t xml:space="preserve">  Overhead Conductor</t>
  </si>
  <si>
    <t xml:space="preserve">  Underground Conduit</t>
  </si>
  <si>
    <t xml:space="preserve">  Underground Conductors</t>
  </si>
  <si>
    <t>Composite Depreciation (Ln 3 / Ln 4)</t>
  </si>
  <si>
    <t xml:space="preserve">  Regional Marketing Expenses</t>
  </si>
  <si>
    <t>TOTAL O&amp;M EXPENSES</t>
  </si>
  <si>
    <t xml:space="preserve">TOTAL REVENUE REQUIREMENT </t>
  </si>
  <si>
    <t xml:space="preserve">  Annual Rate</t>
  </si>
  <si>
    <t xml:space="preserve">  Monthly Rate</t>
  </si>
  <si>
    <t xml:space="preserve">   Project ROE Incentive Adder</t>
  </si>
  <si>
    <t>Weighted cost</t>
  </si>
  <si>
    <t>Rev Require</t>
  </si>
  <si>
    <t xml:space="preserve"> W Incentives</t>
  </si>
  <si>
    <t xml:space="preserve">  Land Rights</t>
  </si>
  <si>
    <t>Incentive Amounts</t>
  </si>
  <si>
    <t>Long Term Debt</t>
  </si>
  <si>
    <t>Preferred Stock</t>
  </si>
  <si>
    <t>R =</t>
  </si>
  <si>
    <t>PROJECTED YEAR</t>
  </si>
  <si>
    <t xml:space="preserve">   R   (fom A. above)</t>
  </si>
  <si>
    <t xml:space="preserve">   Return (Rate Base  x  R)</t>
  </si>
  <si>
    <t xml:space="preserve">   Return   (from B. above)</t>
  </si>
  <si>
    <t xml:space="preserve">   Income Tax Calculation  (Return  x  CIT)</t>
  </si>
  <si>
    <t xml:space="preserve">   Income Taxes</t>
  </si>
  <si>
    <r>
      <t>NOTE:  The balance of fair value hedges on outstanding long term debt are to be excluded from the balance of long term debt included in the formula's capital structure. (</t>
    </r>
    <r>
      <rPr>
        <sz val="10"/>
        <color indexed="17"/>
        <rFont val="Arial"/>
        <family val="2"/>
      </rPr>
      <t>p. 257,</t>
    </r>
    <r>
      <rPr>
        <sz val="10"/>
        <rFont val="Arial"/>
        <family val="2"/>
      </rPr>
      <t xml:space="preserve"> Column H of the FF1)</t>
    </r>
  </si>
  <si>
    <r>
      <t>NOTE:  The balance of fair value hedges on outstanding long term debt are to be excluded from the balance of long term debt included in the formula's capital structure. (</t>
    </r>
    <r>
      <rPr>
        <sz val="10"/>
        <color indexed="17"/>
        <rFont val="Arial"/>
        <family val="2"/>
      </rPr>
      <t xml:space="preserve">p. 257, </t>
    </r>
    <r>
      <rPr>
        <sz val="10"/>
        <rFont val="Arial"/>
        <family val="2"/>
      </rPr>
      <t>Column H of the FF1)</t>
    </r>
  </si>
  <si>
    <t>Total Long Term Debt Balance</t>
  </si>
  <si>
    <t>LTD Interest Expense</t>
  </si>
  <si>
    <t>ACTUAL WEIGHTED AVG COST OF CAPITAL</t>
  </si>
  <si>
    <t xml:space="preserve">   Income Taxes  (from I.C. above)</t>
  </si>
  <si>
    <t>Calculation of Composite Depreciation Rate</t>
  </si>
  <si>
    <t>Composite Depreciation Rate</t>
  </si>
  <si>
    <t>Depreciable Life for Composite Depreciation Rate</t>
  </si>
  <si>
    <t xml:space="preserve">   (e.g. ER05-925-000)</t>
  </si>
  <si>
    <t>Investment</t>
  </si>
  <si>
    <t>Current Year</t>
  </si>
  <si>
    <t>TRUE UP OF PROJECT REVENUE REQUIREMENT FOR PRIOR YEAR:</t>
  </si>
  <si>
    <t>Service Year (yyyy)</t>
  </si>
  <si>
    <t>ROE increase accepted by FERC (Basis Points)</t>
  </si>
  <si>
    <t>Service Month (1-12)</t>
  </si>
  <si>
    <t>FCR w/o incentives, less depreciation</t>
  </si>
  <si>
    <t>Useful life</t>
  </si>
  <si>
    <t>FCR w/incentives approved for these facilities, less dep.</t>
  </si>
  <si>
    <t>CIAC (Yes or No)</t>
  </si>
  <si>
    <t>Annual Depreciation Expense</t>
  </si>
  <si>
    <t>Beginning</t>
  </si>
  <si>
    <t>Depreciation</t>
  </si>
  <si>
    <t>Ending</t>
  </si>
  <si>
    <t>True-up of Incentive</t>
  </si>
  <si>
    <t xml:space="preserve">w/o Incentives </t>
  </si>
  <si>
    <t>Project Totals</t>
  </si>
  <si>
    <t xml:space="preserve">should be incremented by the amount of the incentive revenue calculated for that year on this project. </t>
  </si>
  <si>
    <t>Determine the Revenue Requirement, and Additional Revenue Requirement for facilities receiving incentives.</t>
  </si>
  <si>
    <t>A. Base Plan Facilities</t>
  </si>
  <si>
    <t>Facilities receiving incentives accepted by FERC in Docket No.</t>
  </si>
  <si>
    <t>Project Description:</t>
  </si>
  <si>
    <t>Details</t>
  </si>
  <si>
    <t>Incentive Rev.</t>
  </si>
  <si>
    <t>Current Projected Year ARR</t>
  </si>
  <si>
    <t>Current Projected Year ARR w/ Incentive</t>
  </si>
  <si>
    <t>w/o Incentives</t>
  </si>
  <si>
    <r>
      <t xml:space="preserve">   Return   (from </t>
    </r>
    <r>
      <rPr>
        <sz val="10"/>
        <rFont val="MS Serif"/>
        <family val="1"/>
      </rPr>
      <t>I</t>
    </r>
    <r>
      <rPr>
        <sz val="10"/>
        <rFont val="Arial"/>
        <family val="2"/>
      </rPr>
      <t>.B. above)</t>
    </r>
  </si>
  <si>
    <r>
      <t>with Incentives</t>
    </r>
    <r>
      <rPr>
        <b/>
        <sz val="10"/>
        <color indexed="10"/>
        <rFont val="Arial"/>
        <family val="2"/>
      </rPr>
      <t xml:space="preserve"> **</t>
    </r>
  </si>
  <si>
    <t>TOTAL DEPRECIATION AND AMORTIZATI0N</t>
  </si>
  <si>
    <t xml:space="preserve">   ITC Adjustment  </t>
  </si>
  <si>
    <t>(Note D)</t>
  </si>
  <si>
    <t>O</t>
  </si>
  <si>
    <t>The company will not include the ADIT portion of deferred hedge gains and losses in rate base.</t>
  </si>
  <si>
    <t xml:space="preserve">  Prepayments (Account 165) - Transmission Only</t>
  </si>
  <si>
    <t>Account</t>
  </si>
  <si>
    <t>Gross Receipts Tax</t>
  </si>
  <si>
    <t>Federal Excise Tax</t>
  </si>
  <si>
    <t xml:space="preserve">________ Tax Rate </t>
  </si>
  <si>
    <t>Property</t>
  </si>
  <si>
    <t>Non-Allocable</t>
  </si>
  <si>
    <t xml:space="preserve"> Total Taxes by Allocable Basis</t>
  </si>
  <si>
    <t xml:space="preserve">Federal Unemployment Tax </t>
  </si>
  <si>
    <t xml:space="preserve">State Unemployment Insurance </t>
  </si>
  <si>
    <t xml:space="preserve">State Public Service Commission Fees </t>
  </si>
  <si>
    <t xml:space="preserve">State Franchise Taxes </t>
  </si>
  <si>
    <t xml:space="preserve">State Lic/Registration Fee  </t>
  </si>
  <si>
    <t xml:space="preserve">Misc. State and Local Tax </t>
  </si>
  <si>
    <t xml:space="preserve">Sales &amp; Use </t>
  </si>
  <si>
    <t xml:space="preserve">Federal Insurance Contribution (FICA ) </t>
  </si>
  <si>
    <t xml:space="preserve">Miscellaneous Taxes </t>
  </si>
  <si>
    <t>Revenue Taxes</t>
  </si>
  <si>
    <t>Real Estate and Personal Property Taxes</t>
  </si>
  <si>
    <t xml:space="preserve">Payroll Taxes </t>
  </si>
  <si>
    <t>DEFERRED TAX ADJUSTMENTS TO RATE BASE</t>
  </si>
  <si>
    <t>REGULATORY ASSETS</t>
  </si>
  <si>
    <t xml:space="preserve">     Less: Total Account 561</t>
  </si>
  <si>
    <t xml:space="preserve">               Acct. 928, Reg. Com. Exp.</t>
  </si>
  <si>
    <t xml:space="preserve">  Less:    Acct. 924, Property Insurance</t>
  </si>
  <si>
    <t xml:space="preserve">               Acct. 930.2, Misc. Gen. Exp.</t>
  </si>
  <si>
    <t xml:space="preserve">     Less: Regulatory Deferrals &amp; Amortizations</t>
  </si>
  <si>
    <t>General</t>
  </si>
  <si>
    <t xml:space="preserve"> Transmission Materials &amp; Supplies</t>
  </si>
  <si>
    <t xml:space="preserve">  A&amp;G Materials &amp; Supplies </t>
  </si>
  <si>
    <t>INCOME TAXES</t>
  </si>
  <si>
    <t xml:space="preserve">     T=1 - {[(1 - SIT) * (1 - FIT)] / (1 - SIT * FIT * p)} =</t>
  </si>
  <si>
    <t xml:space="preserve">    EIT=(T/(1-T)) * (1-(WCLTD/WACC)) =</t>
  </si>
  <si>
    <t>Amortized Investment Tax Credit (enter negative)</t>
  </si>
  <si>
    <t xml:space="preserve">Income Tax Calculation </t>
  </si>
  <si>
    <t xml:space="preserve">     ITC adjustment</t>
  </si>
  <si>
    <t>(Note R)</t>
  </si>
  <si>
    <t>The currently effective income tax rate,  where FIT is the Federal income tax rate; SIT is the State income tax rate, and p =</t>
  </si>
  <si>
    <t xml:space="preserve">         Inputs Required:</t>
  </si>
  <si>
    <t>FIT =</t>
  </si>
  <si>
    <t>SIT=</t>
  </si>
  <si>
    <t>p =</t>
  </si>
  <si>
    <t xml:space="preserve">  (percent of federal income tax deductible for state purposes)</t>
  </si>
  <si>
    <t>P</t>
  </si>
  <si>
    <t>Q</t>
  </si>
  <si>
    <t>R</t>
  </si>
  <si>
    <t>S</t>
  </si>
  <si>
    <t>NOTE C</t>
  </si>
  <si>
    <t>Actual (Uncapped) Capital Structure</t>
  </si>
  <si>
    <t>Expenses reported for these A&amp;G accounts will be included in the cost of service only to the extent they are directly assignable to transmission service. Worksheet F allocates</t>
  </si>
  <si>
    <t>RTEP Rev. Req't.</t>
  </si>
  <si>
    <t xml:space="preserve">          TEMPLATE BELOW TO MAINTAIN HISTORY OF PROJECTED ARRS OVER THE </t>
  </si>
  <si>
    <t>RTEP Projected Rev. Req't.From Prior Year WS J</t>
  </si>
  <si>
    <t>been removed from ratebase. Transmission ADIT allocations are shown on WS B.</t>
  </si>
  <si>
    <t>Note: Regulatory Assets &amp; Liabilities can only be included in ratebase pursuant to a 205 filing with the FERC.</t>
  </si>
  <si>
    <t xml:space="preserve">Less: Account 216.1 </t>
  </si>
  <si>
    <t xml:space="preserve">          TEMPLATE BELOW TO MAINTAIN HISTORY OF TRUED-UP ARRS OVER THE </t>
  </si>
  <si>
    <t xml:space="preserve">         LIFE OF THE PROJECT.</t>
  </si>
  <si>
    <t>RTEP Rev Req't True-up</t>
  </si>
  <si>
    <t>RTEP Projected Rev. Req't.From Prior Year Template</t>
  </si>
  <si>
    <t>RTEP  Rev Req't True-up</t>
  </si>
  <si>
    <t>Less: Account 219</t>
  </si>
  <si>
    <t>Less: Preferred Stock</t>
  </si>
  <si>
    <t>1) Forfeited Discounts.</t>
  </si>
  <si>
    <t>2) Miscellaneous Service Revenues.</t>
  </si>
  <si>
    <t>5) Other electric revenues.</t>
  </si>
  <si>
    <t>6) Revenues for grandfathered PTP contracts included in the load divisor.</t>
  </si>
  <si>
    <t>NET PLANT CARRYING CHARGE w/o intra-AEP charges or credits or ROE incentives (Note B)</t>
  </si>
  <si>
    <t>FF1, page 214, ln 47, Col. (d)</t>
  </si>
  <si>
    <t xml:space="preserve">  Less: General Plant ARO (Enter Negative) </t>
  </si>
  <si>
    <t xml:space="preserve">  Less: Transmission ARO (Enter Negative) </t>
  </si>
  <si>
    <t>FF1, page 219, ln 25, Col. (b)</t>
  </si>
  <si>
    <t>(Total Company Amount Ties to FFI p.114, Ln 14,(c))</t>
  </si>
  <si>
    <t>561.1 - Load Dispatch - Reliability</t>
  </si>
  <si>
    <t>561.2 - Load Dispatch - Monitor &amp; Operate Trans System</t>
  </si>
  <si>
    <t>561.3 - Load Dispatch - Trans Service &amp; Scheduling</t>
  </si>
  <si>
    <t>FF1 p 321.85.b</t>
  </si>
  <si>
    <t>FF1 p 321.86.b</t>
  </si>
  <si>
    <t>FF1 p 321.87.b</t>
  </si>
  <si>
    <t>FF1 p 321.88.b</t>
  </si>
  <si>
    <t>FF1 p 321.89.b</t>
  </si>
  <si>
    <t>FF1 p 321.90.b</t>
  </si>
  <si>
    <t>FF1 p 321.91.b</t>
  </si>
  <si>
    <t>561.4 - Scheduling, System Control &amp; Dispatch</t>
  </si>
  <si>
    <t>FF1 p 321.92.b</t>
  </si>
  <si>
    <t>Total of Account 561</t>
  </si>
  <si>
    <t>561.5 -  Reliability, Planning and Standards Development</t>
  </si>
  <si>
    <t>561.6 - Transmission Service Studies</t>
  </si>
  <si>
    <t>561.7 - Generation Interconnection Studies</t>
  </si>
  <si>
    <t>561.8 -  Reliability, Planning and Standards Development Services</t>
  </si>
  <si>
    <t>Detail of Account 561 Per FERC Form 1</t>
  </si>
  <si>
    <t>Apportionment Factors are determined as part of the Company's annual tax return for that jurisdiction.</t>
  </si>
  <si>
    <t>T</t>
  </si>
  <si>
    <t>Total O&amp;M Allocable to Transmission</t>
  </si>
  <si>
    <t>Transmission Cost of Service Formula Rate</t>
  </si>
  <si>
    <t xml:space="preserve"> O &amp; M EXPENSE SUBTOTAL</t>
  </si>
  <si>
    <t>321.112.b</t>
  </si>
  <si>
    <t>322.131.b</t>
  </si>
  <si>
    <t>323.185.b</t>
  </si>
  <si>
    <t>336.7.f</t>
  </si>
  <si>
    <t>336.10.f</t>
  </si>
  <si>
    <t>336.1.f</t>
  </si>
  <si>
    <t>(Note N)</t>
  </si>
  <si>
    <t xml:space="preserve"> (Note O)</t>
  </si>
  <si>
    <t xml:space="preserve">       and FIT, SIT &amp; p are as given in Note O.</t>
  </si>
  <si>
    <t>354.24,25,26.b</t>
  </si>
  <si>
    <t>REVENUE REQUIREMENT FOR SCHEDULE 1A CHARGES</t>
  </si>
  <si>
    <t>Total 561 Internally Developed Costs</t>
  </si>
  <si>
    <t xml:space="preserve">Total Load Dispatch &amp; Scheduling (Account 561) </t>
  </si>
  <si>
    <t>FF1, p. 227, ln 8, Col. (c) &amp; (b)</t>
  </si>
  <si>
    <t>FF1, p. 227, ln 11, Col. (c) &amp; (b)</t>
  </si>
  <si>
    <t>FF1, p. 227, ln 16, Col. (c) &amp; (b)</t>
  </si>
  <si>
    <t>State Business &amp; Occupation Tax</t>
  </si>
  <si>
    <t>State Severance Taxes</t>
  </si>
  <si>
    <t>AEP OPERATING COMPANIES' COMPOSITE (Note S)</t>
  </si>
  <si>
    <t xml:space="preserve">Worksheet  - P </t>
  </si>
  <si>
    <t>DEPRECIATION RATES</t>
  </si>
  <si>
    <t>FOR TRANSMISSION PLANT PROPERTY ACCOUNTS</t>
  </si>
  <si>
    <t>Amortization Period</t>
  </si>
  <si>
    <t>HEDGE AMOUNTS BY ISSUANCE (FROM p. 256-257 (i) of the FERC Form 1)</t>
  </si>
  <si>
    <t>Remaining Unamortized Balance</t>
  </si>
  <si>
    <t>Average (Ln 1+ Ln 2)/2</t>
  </si>
  <si>
    <t>FF1, page 207 Col.(g) &amp; pg. 206 Col. (b), ln 58</t>
  </si>
  <si>
    <t>FF1, page 207 Col.(g) &amp; pg. 206 Col. (b), ln 57</t>
  </si>
  <si>
    <t>FF1, page 207 Col.(g) &amp; pg. 206 Col. (b), ln 99</t>
  </si>
  <si>
    <t>FF1, page 207 Col.(g) &amp; pg. 206 Col. (b), ln 98</t>
  </si>
  <si>
    <t>FF1, page 205 Col.(g) &amp; pg. 204 Col. (b), ln 5</t>
  </si>
  <si>
    <t xml:space="preserve">   Effective State Tax Rate</t>
  </si>
  <si>
    <t>FF1, p. 274 - 275, ln 5, Col. (k)</t>
  </si>
  <si>
    <t>Current Projected Year Incentive ARR</t>
  </si>
  <si>
    <t>SUMMARY OF PROJECTED ANNUAL RTEP  REVENUE REQUIREMENTS</t>
  </si>
  <si>
    <t>TRUE-UP YEAR</t>
  </si>
  <si>
    <t>As Projected in Prior Year WS J</t>
  </si>
  <si>
    <t>SUMMARY OF TRUED-UP ANNUAL REVENUE REQUIREMENTS FOR RTEPPROJECTS</t>
  </si>
  <si>
    <t>Prior Yr Projected</t>
  </si>
  <si>
    <t>Prior Yr True-Up</t>
  </si>
  <si>
    <t>True-Up Adjustment</t>
  </si>
  <si>
    <t xml:space="preserve">Average </t>
  </si>
  <si>
    <t>CUMULATIVE HISTORY OF PROJECTED ANNUAL REVENUE REQUIREMENTS:</t>
  </si>
  <si>
    <t>Relative Valuation Factor</t>
  </si>
  <si>
    <t>Taxable Property Basis</t>
  </si>
  <si>
    <t>Functional Property Tax Allocation</t>
  </si>
  <si>
    <t>Real and Personal Property - Other Jurisdictions</t>
  </si>
  <si>
    <t>REVENUE REQUIREMENT For All Company Facilities</t>
  </si>
  <si>
    <t>Net (Gain)/Loss Hedge Amortization To Be Removed</t>
  </si>
  <si>
    <t xml:space="preserve"> Worksheet H page 2 Form 1 Source Reference of Company Amounts on WS H</t>
  </si>
  <si>
    <t xml:space="preserve"> Worksheet H page 1 Supporting Taxes Other than Income</t>
  </si>
  <si>
    <t>Worksheet Q Page 1</t>
  </si>
  <si>
    <t>Worksheet Q Page 2</t>
  </si>
  <si>
    <t>Worksheet Q Page 3</t>
  </si>
  <si>
    <t>Interest Expense (Company Records - Note 1)</t>
  </si>
  <si>
    <t xml:space="preserve">ITC Balances Includeable in Ratebase </t>
  </si>
  <si>
    <t>A.   Determine Annual Revenue Requirement less return and Income Taxes.</t>
  </si>
  <si>
    <t>354.22.b</t>
  </si>
  <si>
    <t>with Incentives **</t>
  </si>
  <si>
    <t xml:space="preserve"> Worksheet J Supporting Calculation of PROJECTED PJM RTEP Project Revenue Requirement Billed to Benefiting Zones</t>
  </si>
  <si>
    <t xml:space="preserve"> Worksheet K Supporting Calculation of TRUE-UP PJM RTEP Project Revenue Requirement Billed to Benefiting Zones</t>
  </si>
  <si>
    <t xml:space="preserve">NOTE 2 </t>
  </si>
  <si>
    <t xml:space="preserve">ADIT balances should exclude balances related to hedging activity. </t>
  </si>
  <si>
    <t>Annual Tax Expenses by Type (Note 1)</t>
  </si>
  <si>
    <t>FF1, p. 266-267, ln 8, Col. (h)</t>
  </si>
  <si>
    <t xml:space="preserve"> Worksheet B Supporting ADIT and ITC Balances</t>
  </si>
  <si>
    <t>additional incentive requirement is applicable for the life of this specific project.  Each year the revenue requirement calculated for PJM</t>
  </si>
  <si>
    <t>Capital Structure Percentages</t>
  </si>
  <si>
    <t>FERC</t>
  </si>
  <si>
    <t>Revenue credits include:</t>
  </si>
  <si>
    <t>3) Rental revenues earned on assets included in the rate base.</t>
  </si>
  <si>
    <t>4) Revenues for associated business projects provided by employees whose labor and overhead costs are in the transmission cost of service.</t>
  </si>
  <si>
    <t xml:space="preserve">these expense items. Acct 928 Includes Regulatory Commission expenses itemized in FERC Form-1 at page 351, column H.  FERC Assessment Fees and Annual Charges </t>
  </si>
  <si>
    <t xml:space="preserve">shall not be allocated to transmission.  Only safety-related and educational advertising costs in Account 930.1 are included in the TCOS. Account 930.2 includes the </t>
  </si>
  <si>
    <t>expenses incurred by the transmission function for Associated Business Development revenues given as a credit to the TCOS on Worksheet E.</t>
  </si>
  <si>
    <t xml:space="preserve">     Plus: Transmission Lease Payments To Affiliates in Acct 565 (Company Records) (Note H)</t>
  </si>
  <si>
    <t>See Worksheet E for details.</t>
  </si>
  <si>
    <t>Less:  Load Dispatch - Scheduling, System Control and Dispatch Services (321.88.b)</t>
  </si>
  <si>
    <t>Less:  Load Dispatch - Reliability, Planning &amp; Standards Development Services (321.92.b)</t>
  </si>
  <si>
    <t xml:space="preserve">   R   (from A. above)</t>
  </si>
  <si>
    <t>CUMULATIVE HISTORY OF TRUED-UP ANNUAL REVENUE REQUIREMENTS:</t>
  </si>
  <si>
    <t xml:space="preserve"> Worksheet F Supporting Allocation of Specific O&amp;M or  A&amp;G Expenses</t>
  </si>
  <si>
    <t>throughs and is completely excluded if the utility chose to utilize amortization of tax credits against FIT expense. An exception to this is pre-1971 ITC balances, which are</t>
  </si>
  <si>
    <t>T =  Transmission</t>
  </si>
  <si>
    <t>G = General</t>
  </si>
  <si>
    <t>(Gain) / Loss</t>
  </si>
  <si>
    <t>Worksheet C Supporting Working Capital Rate Base Adjustments</t>
  </si>
  <si>
    <t>Regulatory O&amp;M Deferrals &amp; Amortizations</t>
  </si>
  <si>
    <t>required to be taken as an offset to rate base. Account 281 is not allocated.  In compliance with FERC Rulemaking RM02-7-000, Asset Retirement Obligation deferrals have</t>
  </si>
  <si>
    <t>(Note E)</t>
  </si>
  <si>
    <t>Note 1</t>
  </si>
  <si>
    <t>(I)</t>
  </si>
  <si>
    <t xml:space="preserve">Average of </t>
  </si>
  <si>
    <t>Balances</t>
  </si>
  <si>
    <t xml:space="preserve">Subtotal - Form 1, p 111.57.c  </t>
  </si>
  <si>
    <t>(FF1 p.114, ln 19.c)</t>
  </si>
  <si>
    <t xml:space="preserve">  (State Income Tax Rate or Composite SIT.  Worksheet G))</t>
  </si>
  <si>
    <t>FF1, page 200, ln 21, Col. (b)</t>
  </si>
  <si>
    <t>Account 281</t>
  </si>
  <si>
    <t>Account 282</t>
  </si>
  <si>
    <t>Account 283</t>
  </si>
  <si>
    <t xml:space="preserve">Account 190 </t>
  </si>
  <si>
    <t>Account 255</t>
  </si>
  <si>
    <t>FF1, p. 234, ln 8, Col. (c)</t>
  </si>
  <si>
    <t>Year End Utility Deferrals</t>
  </si>
  <si>
    <t>Transmission Related Deferrals</t>
  </si>
  <si>
    <t>FF1, p. 272 - 273, ln 8, Col. (k)</t>
  </si>
  <si>
    <t>FF1, p. 276 - 277, ln 9, Col. (k)</t>
  </si>
  <si>
    <t>Less:  ARO Related Deferrals</t>
  </si>
  <si>
    <t>Less: Other Excluded Deferrals</t>
  </si>
  <si>
    <t>Year End ITC Balances</t>
  </si>
  <si>
    <t xml:space="preserve">Less:  Balances Not Qualified for Ratebase </t>
  </si>
  <si>
    <t xml:space="preserve">Plant </t>
  </si>
  <si>
    <t>Related</t>
  </si>
  <si>
    <t>(E)+(F)+(G)</t>
  </si>
  <si>
    <t xml:space="preserve"> Line Deliberately Left Blank</t>
  </si>
  <si>
    <t xml:space="preserve"> Lines 24-58 Column (B) Deliberately Left Blank</t>
  </si>
  <si>
    <t xml:space="preserve"> Lines 24-58 Column (D) Deliberately Left Blank</t>
  </si>
  <si>
    <t>Line Left Deliberately Blank</t>
  </si>
  <si>
    <t>Transmission Materials &amp; Supplies</t>
  </si>
  <si>
    <t>General Materials &amp; Supplies</t>
  </si>
  <si>
    <t xml:space="preserve">  Stores Expense </t>
  </si>
  <si>
    <t>Excludable</t>
  </si>
  <si>
    <t>Source of Data</t>
  </si>
  <si>
    <t>AEPTCo subsidiaries in PJM</t>
  </si>
  <si>
    <t>Plant Held For Future Use</t>
  </si>
  <si>
    <t>( C )</t>
  </si>
  <si>
    <t>General Notes:  a)  References to data from Worksheets are indicated as:  Worksheet X, Line#.Column.X</t>
  </si>
  <si>
    <t>NOTE 1</t>
  </si>
  <si>
    <t>Company Records - Note 1</t>
  </si>
  <si>
    <t>Subtotal - Other Operating Revenues (Company Total equals (FF1 p. 300.26.(b))</t>
  </si>
  <si>
    <t xml:space="preserve"> Worksheet G Supporting - Development of Composite State Income Tax Rate</t>
  </si>
  <si>
    <t>Revenue Credits to Generators (Company Records - Note 1)</t>
  </si>
  <si>
    <t>Accounting Adjustment  (Company Records - Note 1)</t>
  </si>
  <si>
    <t>Average Balance of Common Equity</t>
  </si>
  <si>
    <t>Development of Cost of  Long Term Debt Based on Average Outstanding Balance</t>
  </si>
  <si>
    <t>Amort of Debt Discount &amp; Expense (117.63.c)</t>
  </si>
  <si>
    <t>Amort of Loss on Reacquired Debt (117.64.c)</t>
  </si>
  <si>
    <t>Less: Amort of Premium on Debt (117.65.c)</t>
  </si>
  <si>
    <t>Less: Amort of Gain on Reacquired Debt (117.66.c)</t>
  </si>
  <si>
    <t>Development of Cost of Preferred Stock</t>
  </si>
  <si>
    <t>Bonds (112.18.c&amp;d)</t>
  </si>
  <si>
    <t>Less: Reacquired Bonds (112.19.c&amp;d)</t>
  </si>
  <si>
    <t>Interest on Long Term Debt (256-257.33.i)</t>
  </si>
  <si>
    <t>354.21.b</t>
  </si>
  <si>
    <t>Date</t>
  </si>
  <si>
    <t>Property Description</t>
  </si>
  <si>
    <t>Basis</t>
  </si>
  <si>
    <t>Proceeds</t>
  </si>
  <si>
    <t xml:space="preserve">Line </t>
  </si>
  <si>
    <t>Function (T) or (G)</t>
  </si>
  <si>
    <t>Functional Allocator</t>
  </si>
  <si>
    <t xml:space="preserve">(G) </t>
  </si>
  <si>
    <t>Functionalized Proceeds</t>
  </si>
  <si>
    <t>Removes transmission plant (e.g. step-up transformers) included in the development of OATT ancillary service rates and not already removed for reasons indicated in Note P.</t>
  </si>
  <si>
    <t xml:space="preserve">     Less: Account 565</t>
  </si>
  <si>
    <t>ACCUMULATED DEPRECIATION AND AMORTIZATION</t>
  </si>
  <si>
    <t>WACC=</t>
  </si>
  <si>
    <t>Non-</t>
  </si>
  <si>
    <t xml:space="preserve">IPP CONTRIBUTIONS FOR CONSTRUCTION  </t>
  </si>
  <si>
    <t>TAXES OTHER THAN INCOME</t>
  </si>
  <si>
    <t>TOTAL OTHER TAXES</t>
  </si>
  <si>
    <t>TOTAL INCOME TAXES</t>
  </si>
  <si>
    <t>Item No.</t>
  </si>
  <si>
    <t>Expense</t>
  </si>
  <si>
    <t>Specific</t>
  </si>
  <si>
    <t>Explanation</t>
  </si>
  <si>
    <t>SUPPORTING CALCULATIONS</t>
  </si>
  <si>
    <t>WAGES &amp; SALARY ALLOCATOR (W/S)</t>
  </si>
  <si>
    <t>Transmission related amount</t>
  </si>
  <si>
    <t>W/S=</t>
  </si>
  <si>
    <t>TOTAL WORKING CAPITAL</t>
  </si>
  <si>
    <t>TOTAL NET PLANT IN SERVICE</t>
  </si>
  <si>
    <t>TOTAL ACCUMULATED DEPRECIATION</t>
  </si>
  <si>
    <t>TOTAL GROSS PLANT</t>
  </si>
  <si>
    <t>TO Total</t>
  </si>
  <si>
    <t>GROSS PLANT IN SERVICE</t>
  </si>
  <si>
    <t>NET PLANT IN SERVICE</t>
  </si>
  <si>
    <t>(E)</t>
  </si>
  <si>
    <t>(F)</t>
  </si>
  <si>
    <t>(G)</t>
  </si>
  <si>
    <t>100%</t>
  </si>
  <si>
    <t>YE Balance</t>
  </si>
  <si>
    <t>Non-Transmission</t>
  </si>
  <si>
    <t>Acc. No.</t>
  </si>
  <si>
    <t>(H)</t>
  </si>
  <si>
    <t>TOTAL ADJUSTMENTS</t>
  </si>
  <si>
    <t>WORKING CAPITAL</t>
  </si>
  <si>
    <t>RATE BASE CALCULATION</t>
  </si>
  <si>
    <t>Data Sources</t>
  </si>
  <si>
    <t>323.189.b</t>
  </si>
  <si>
    <t>323.191.b</t>
  </si>
  <si>
    <t>323.192.b</t>
  </si>
  <si>
    <t>INTEREST ON IPP CONTRIBUTION FOR CONST. (Note F) (Worksheet D, ln 2.(B))</t>
  </si>
  <si>
    <t>(Note H) 321.96.b</t>
  </si>
  <si>
    <t>EXPENSE, TAXES, RETURN &amp; REVENUE</t>
  </si>
  <si>
    <t>REQUIREMENTS  CALCULATION</t>
  </si>
  <si>
    <t>OPERATION &amp; MAINTENANCE EXPENSE</t>
  </si>
  <si>
    <t xml:space="preserve">  Administrative and General</t>
  </si>
  <si>
    <t xml:space="preserve">  Prepayments (Account 165) - Unallocable</t>
  </si>
  <si>
    <t>Number</t>
  </si>
  <si>
    <t>Michigan Single Business Tax</t>
  </si>
  <si>
    <t xml:space="preserve">               Acct. 930.1, Gen. Advert. Exp.</t>
  </si>
  <si>
    <t xml:space="preserve">     Balance of A &amp; G</t>
  </si>
  <si>
    <t xml:space="preserve">     A &amp; G Subtotal</t>
  </si>
  <si>
    <t>TOTAL O &amp; M EXPENSE</t>
  </si>
  <si>
    <t>REVENUE REQUIREMENT (w/o incentives)</t>
  </si>
  <si>
    <t>(See "General Notes")</t>
  </si>
  <si>
    <t>DEPRECIATION AND AMORTIZATION EXPENSE</t>
  </si>
  <si>
    <t xml:space="preserve"> </t>
  </si>
  <si>
    <t>Transmission</t>
  </si>
  <si>
    <t>ln</t>
  </si>
  <si>
    <t>No.</t>
  </si>
  <si>
    <t>Total</t>
  </si>
  <si>
    <t>Allocator</t>
  </si>
  <si>
    <t>TP</t>
  </si>
  <si>
    <t>(1)</t>
  </si>
  <si>
    <t>(2)</t>
  </si>
  <si>
    <t>(3)</t>
  </si>
  <si>
    <t>(4)</t>
  </si>
  <si>
    <t>(5)</t>
  </si>
  <si>
    <t>NA</t>
  </si>
  <si>
    <t xml:space="preserve">  Transmission</t>
  </si>
  <si>
    <t>DA</t>
  </si>
  <si>
    <t xml:space="preserve">  General Plant   </t>
  </si>
  <si>
    <t>W/S</t>
  </si>
  <si>
    <t xml:space="preserve">  Intangible Plant</t>
  </si>
  <si>
    <t xml:space="preserve">  Account No. 255 (enter negative)</t>
  </si>
  <si>
    <t xml:space="preserve">  Transmission </t>
  </si>
  <si>
    <t xml:space="preserve">  General </t>
  </si>
  <si>
    <t xml:space="preserve">  Intangible</t>
  </si>
  <si>
    <t xml:space="preserve">  Labor Related</t>
  </si>
  <si>
    <t xml:space="preserve">          Payroll</t>
  </si>
  <si>
    <t xml:space="preserve">  Plant Related</t>
  </si>
  <si>
    <t xml:space="preserve">         Property</t>
  </si>
  <si>
    <t xml:space="preserve">         Other</t>
  </si>
  <si>
    <t>TP=</t>
  </si>
  <si>
    <t>$</t>
  </si>
  <si>
    <t>Cost</t>
  </si>
  <si>
    <t>%</t>
  </si>
  <si>
    <t>Weighted</t>
  </si>
  <si>
    <t>A</t>
  </si>
  <si>
    <t>B</t>
  </si>
  <si>
    <t>C</t>
  </si>
  <si>
    <t>D</t>
  </si>
  <si>
    <t>E</t>
  </si>
  <si>
    <t>F</t>
  </si>
  <si>
    <t>G</t>
  </si>
  <si>
    <t>H</t>
  </si>
  <si>
    <t>I</t>
  </si>
  <si>
    <t>J</t>
  </si>
  <si>
    <t>K</t>
  </si>
  <si>
    <t>L</t>
  </si>
  <si>
    <t>M</t>
  </si>
  <si>
    <t>Labor</t>
  </si>
  <si>
    <t>(A)</t>
  </si>
  <si>
    <t>(B)</t>
  </si>
  <si>
    <t>(C)</t>
  </si>
  <si>
    <t>(D)</t>
  </si>
  <si>
    <t xml:space="preserve">Total transmission plant   </t>
  </si>
  <si>
    <t>Description</t>
  </si>
  <si>
    <t xml:space="preserve">REVENUE CREDITS </t>
  </si>
  <si>
    <t>Line</t>
  </si>
  <si>
    <t>Amount</t>
  </si>
  <si>
    <t>I.</t>
  </si>
  <si>
    <t>II.</t>
  </si>
  <si>
    <t>III.</t>
  </si>
  <si>
    <t>IV.</t>
  </si>
  <si>
    <t>Notes</t>
  </si>
  <si>
    <t>Letter</t>
  </si>
  <si>
    <t>Year</t>
  </si>
  <si>
    <t>Balance</t>
  </si>
  <si>
    <t>Total Included</t>
  </si>
  <si>
    <t>in Ratebase</t>
  </si>
  <si>
    <t>Other</t>
  </si>
  <si>
    <t xml:space="preserve">Total  </t>
  </si>
  <si>
    <t>Company</t>
  </si>
  <si>
    <t>Direct Payroll</t>
  </si>
  <si>
    <t xml:space="preserve">  Account No. 281.1 (enter negative)</t>
  </si>
  <si>
    <t xml:space="preserve">  Account No. 282.1 (enter negative)</t>
  </si>
  <si>
    <t xml:space="preserve">  Account No. 283.1 (enter negative)</t>
  </si>
  <si>
    <t xml:space="preserve">  Account No. 190.1</t>
  </si>
  <si>
    <t xml:space="preserve">     Plus: Acct. 924, Property Insurance</t>
  </si>
  <si>
    <t>WEIGHTED AVERAGE COST OF CAPITAL (WACC)</t>
  </si>
  <si>
    <t>RETURN ON RATE BASE (Rate Base*WACC)</t>
  </si>
  <si>
    <t xml:space="preserve">         Gross Receipts/Sales &amp; Use</t>
  </si>
  <si>
    <t xml:space="preserve">  Other (Excludes A&amp;G) </t>
  </si>
  <si>
    <t>322 &amp; 323.164,171,178.b</t>
  </si>
  <si>
    <t>Total Effective State Income Tax Rate</t>
  </si>
  <si>
    <t>Cash Working Capital</t>
  </si>
  <si>
    <t>PLANT HELD FOR FUTURE USE</t>
  </si>
  <si>
    <t>Source</t>
  </si>
  <si>
    <t>Materials &amp; Supplies</t>
  </si>
  <si>
    <t xml:space="preserve">  Prepayments (Account 165) - Labor Allocated</t>
  </si>
  <si>
    <t xml:space="preserve">  Prepayments (Account 165) - Gross Plant</t>
  </si>
  <si>
    <t>Account 930.2</t>
  </si>
  <si>
    <t>Account 930.1</t>
  </si>
  <si>
    <t>Account 928</t>
  </si>
  <si>
    <t>Average Balance</t>
  </si>
  <si>
    <t>Payroll Billed from AEP Service Corp.</t>
  </si>
  <si>
    <t>Total Other Operating Revenues To Reduce Revenue Requirement</t>
  </si>
  <si>
    <t>GTD=</t>
  </si>
  <si>
    <t>made contributions toward the construction of System upgrades, and includes accrued interest and unreturned balance of contributions.  The annual interest</t>
  </si>
  <si>
    <t>Long Term Interest</t>
  </si>
  <si>
    <t xml:space="preserve">Preferred Dividends </t>
  </si>
  <si>
    <t>TRANSMISSION PLANT INCLUDED IN PJM TARIFF</t>
  </si>
  <si>
    <t>Transmission plant included in PJM Tariff</t>
  </si>
  <si>
    <t>Percent of transmission plant in PJM Tariff</t>
  </si>
  <si>
    <t>AEP East Consolidated Utility Capital Structure</t>
  </si>
  <si>
    <t>Appalachian Power Company</t>
  </si>
  <si>
    <t>Indiana Michigan Power Company</t>
  </si>
  <si>
    <t>Kentucky Power Company</t>
  </si>
  <si>
    <t>Kingsport Power Company</t>
  </si>
  <si>
    <t>Ohio Power Company</t>
  </si>
  <si>
    <t>Wheeling Power Company</t>
  </si>
  <si>
    <t>AEP East Operating Companies' Consolidated Capital Structure</t>
  </si>
  <si>
    <t>Development of Long Term Debt Balances at Year End</t>
  </si>
  <si>
    <t>Development of Long Term Debt Interest Expense</t>
  </si>
  <si>
    <t>Less: Hedge Interest on pp 256-257(i)</t>
  </si>
  <si>
    <t>Development of Cost of Preferred Stock and Preferred Dividends</t>
  </si>
  <si>
    <t>Dividend Rate (p. 250-251. 7.a)</t>
  </si>
  <si>
    <t>Par Value (p. 250-251. 8.c)</t>
  </si>
  <si>
    <t>Shares Outstanding (p.250-251. 8.e)</t>
  </si>
  <si>
    <t>Development of Common Equity</t>
  </si>
  <si>
    <t>Proprietary Capital (112.16.c)</t>
  </si>
  <si>
    <t>Less: Account 216.1 (112.12.c)</t>
  </si>
  <si>
    <t xml:space="preserve">Less: Account 219.1 (112.15.c) </t>
  </si>
  <si>
    <t>Balance of Common Equity</t>
  </si>
  <si>
    <t>Calculation of Capital Shares</t>
  </si>
  <si>
    <t>Total Company Structure</t>
  </si>
  <si>
    <t>Calculation of Capital Cost Rate</t>
  </si>
  <si>
    <t>Common Equity Capital Cost Rate</t>
  </si>
  <si>
    <t>Calculation of Weighted Capital Cost Rate</t>
  </si>
  <si>
    <t>Consolidation of Operating Companies' Average Capital Structure</t>
  </si>
  <si>
    <t>Development of Average Long Term Debt</t>
  </si>
  <si>
    <t>Average Balance of Long Term Debt</t>
  </si>
  <si>
    <t>Development of Average Common Equity</t>
  </si>
  <si>
    <t>Average of Total Company Structure</t>
  </si>
  <si>
    <t>T-Plant (FF1 206.58.b)</t>
  </si>
  <si>
    <t>T-Plant (FF1 206.58.g)</t>
  </si>
  <si>
    <t>TOTAL</t>
  </si>
  <si>
    <t>Depreciation (FF1 336.7.f)</t>
  </si>
  <si>
    <t>Removes plant excluded from the OATT because it does not meet the PJM's definition of Transmission Facilities or is otherwise ineligible to be recovered under the OATT.</t>
  </si>
  <si>
    <t>Less: Net Value  Exempted Generation Plant</t>
  </si>
  <si>
    <t>Less: Net Value of Exempted Generation Plant</t>
  </si>
  <si>
    <t xml:space="preserve">  Regional Market Expenses</t>
  </si>
  <si>
    <t>Worksheet D Supporting  IPP Credits</t>
  </si>
  <si>
    <t>(Note S)</t>
  </si>
  <si>
    <t>NOTE:  The balance of fair value hedges on outstanding long term debt are to be excluded from the balance of long term debt included in the formula's capital structure. (page 257, Column H of the FF1)</t>
  </si>
  <si>
    <t>For Twelve Months Ended</t>
  </si>
  <si>
    <t>Facility Credits under PJM OATT Section 30.9</t>
  </si>
  <si>
    <t xml:space="preserve"> Revenue Requirement for PJM Schedule 12 Facilities (w/o incentives)  (Worksheet J/K)</t>
  </si>
  <si>
    <t>ADDITIONAL REVENUE REQUIREMENT for projects w/ incentive ROE's (Note B) (Worksheet J/K)</t>
  </si>
  <si>
    <t>Excess Deferred Income Tax</t>
  </si>
  <si>
    <t>U</t>
  </si>
  <si>
    <t>Tax Affect of Permanent Differences</t>
  </si>
  <si>
    <t>RESERVED FOR FUTURE USE</t>
  </si>
  <si>
    <t>Reserved for Future Use</t>
  </si>
  <si>
    <t>Cost of Service Formula Rate Using Actual/Projected FF1 Balances</t>
  </si>
  <si>
    <t>Reserved</t>
  </si>
  <si>
    <t>True-up Adjustment - Over (Under) Recovery</t>
  </si>
  <si>
    <t>Over (Under) Recovery Plus Interest</t>
  </si>
  <si>
    <t>Average Monthly Interest Rate</t>
  </si>
  <si>
    <t>Months</t>
  </si>
  <si>
    <t>Calculated Interest</t>
  </si>
  <si>
    <t>Amortization</t>
  </si>
  <si>
    <t>Surcharge (Refund) Owed</t>
  </si>
  <si>
    <t>Calculation of Interest</t>
  </si>
  <si>
    <t>Monthly</t>
  </si>
  <si>
    <t>January</t>
  </si>
  <si>
    <t>February</t>
  </si>
  <si>
    <t>March</t>
  </si>
  <si>
    <t>April</t>
  </si>
  <si>
    <t>May</t>
  </si>
  <si>
    <t>June</t>
  </si>
  <si>
    <t>July</t>
  </si>
  <si>
    <t>August</t>
  </si>
  <si>
    <t>September</t>
  </si>
  <si>
    <t>October</t>
  </si>
  <si>
    <t>November</t>
  </si>
  <si>
    <t>December</t>
  </si>
  <si>
    <t>Annual</t>
  </si>
  <si>
    <t>January  through December</t>
  </si>
  <si>
    <t>Over (Under) Recovery Plus Interest Amortized and Recovered Over 12 Months</t>
  </si>
  <si>
    <t>True-Up Adjustment with Interest</t>
  </si>
  <si>
    <t>Less Over (Under) Recovery</t>
  </si>
  <si>
    <t>Total Interest</t>
  </si>
  <si>
    <t>Note 1:  The interest rate to be applied to the over recovery or under recovery amounts will be determined using the average monthly FERC interest rate (as determined pursuant to 18 C.F.R. Section 35.19a) for the twenty (20) months from the beginning of the rate year being trued-up through August 31 of the following year.</t>
  </si>
  <si>
    <t>Worksheet R - True-up With Interest</t>
  </si>
  <si>
    <t>Includes only FICA, unemployment, highway, property and other assessments.  Gross receipts, sales &amp; use and taxes related to income are excluded.</t>
  </si>
  <si>
    <t xml:space="preserve"> Worksheet I RESERVED</t>
  </si>
  <si>
    <t>Average Life in Whole Years</t>
  </si>
  <si>
    <t xml:space="preserve"> Worksheet L RESERVED</t>
  </si>
  <si>
    <t xml:space="preserve">shall include all revenues associated with those directly assigned transmission facilities, irrespective of whether the loads </t>
  </si>
  <si>
    <t>assigned transmission facilities are not included in the transmission plant balances on which the formula rate ATRR is based.</t>
  </si>
  <si>
    <t>In compliance with FERC Rulemaking the calculation of ADIT in the annual projection will be performed in accordance</t>
  </si>
  <si>
    <t>with IRS regulation Section 1.167(I)-I(h)(6)(ii).  Detailed balances for the projected or actual period, distinguished between utility and non-utility</t>
  </si>
  <si>
    <t>balances, will be filed and posted as part of the informational filing.</t>
  </si>
  <si>
    <t xml:space="preserve">Removes the impact of state regulatory deferrals or their amortization from Transmission O&amp;M expense. </t>
  </si>
  <si>
    <t>The formula rate shall reflect the applicable state and federal statutory tax rates in effect during the period the calculated estimated unit charges are applicable.  If the statutory tax rates change during such period, the effective tax rates used in the formula shall be weighted by the number of days the pre-ochange rate and post-change rate each is in effect.</t>
  </si>
  <si>
    <t>Cash investment in prepaid pension and benefits recorded in FERC Account 165 is permitted to be included in the formula.  A labor expense allocation factor will be used to allocate total company costs.  All other prepayments recorded in FERC Account 165 are directly assigned to the transmission function, allocated or excludable balances detailed on Worksheet C.</t>
  </si>
  <si>
    <t>V</t>
  </si>
  <si>
    <t>The formula rate shall allocate property tax expense based on the as filed net plant cost allocation method detailed on Worksheet H.</t>
  </si>
  <si>
    <t>W</t>
  </si>
  <si>
    <t>AEP Transmission Companies will record depreciation expense using composites of the depreciation rates shown on Worksheet P which rates will not be changed absent a Section 205 or 206 filing at FERC to seek a change in depreciation rates.  No other changes to the formula rate may be included in that filing.</t>
  </si>
  <si>
    <t>X</t>
  </si>
  <si>
    <t xml:space="preserve">7) If AEP Transmission Companies have any directly assigned transmission facilities, the revenue credits in the formula rate </t>
  </si>
  <si>
    <t>of the customer are included in the formula rate divisor; provided however, such addition to revenue credits shall not be reflected if the costs of such directly</t>
  </si>
  <si>
    <t>The annual and monthly net plant carrying charges on page 1 are used to compute the revenue requirement for RTEP sponsored upgrades or those projects receiving approved incentive-ROE's.  Interest will be calculated based on Worksheet R and any over under recovery will be filed and posted as part of the informational filing.</t>
  </si>
  <si>
    <t>Under Section 30.9 of the PJM OATT, a network customer that owns existing transmission facilities that are integrated with the Transmission Provider's Transmission System may be eligible to receive consideration either through a billing credit or some other mechanism.  Calculation of any credit under this subsection, pursuant to approval by FERC for inclusion in this formula rate for collection on behalf of the network customer, shall be addressed in either the Network Customer's Service Agreement or any other agreement between the parties.</t>
  </si>
  <si>
    <t xml:space="preserve">   Annual Revenue Requirement, Less Return and Taxes</t>
  </si>
  <si>
    <t>Real and Personal Property - Virginia</t>
  </si>
  <si>
    <t>Real and Personal Property - Tennessee</t>
  </si>
  <si>
    <t>____________ JURISDICTION</t>
  </si>
  <si>
    <t xml:space="preserve">Includes functional wages &amp; salaries billed by AEP Service Corporation  for support of the operating company. </t>
  </si>
  <si>
    <t>Apportionment Factor - Note 1</t>
  </si>
  <si>
    <t xml:space="preserve">Actual After True-up </t>
  </si>
  <si>
    <t xml:space="preserve">   Annual Revenue Requirement, Less Lease Payments, Return and Taxes</t>
  </si>
  <si>
    <t xml:space="preserve">Interest Rate on Amount of Refunds </t>
  </si>
  <si>
    <t>or Surcharges (Note 1)</t>
  </si>
  <si>
    <t>.</t>
  </si>
  <si>
    <t xml:space="preserve">Subtotal - Form 1, p 111.57.d  </t>
  </si>
  <si>
    <t>5a</t>
  </si>
  <si>
    <t>Account 457.1, Regional Control Service  Revenues (FF1 p.300.23.(b); Company Records - Note 1)</t>
  </si>
  <si>
    <t>5b</t>
  </si>
  <si>
    <t>Account 457.2, Miscellaneous Revenues (FF1p.300.24.(b); Company Records - Note 1)</t>
  </si>
  <si>
    <t>Note 2</t>
  </si>
  <si>
    <t>The total of line 4 and line 5 will equal total Account 456 as listed on FF1 p.300.21-22.(b)</t>
  </si>
  <si>
    <t>Total (FERC Form 1 p.323.189.b)</t>
  </si>
  <si>
    <t>Total (FERC Form 1 p.323.191.b)</t>
  </si>
  <si>
    <t>Total (FERC Form 1 p.323.192.b)</t>
  </si>
  <si>
    <t>Privileged and Confidential</t>
  </si>
  <si>
    <t>Subject to FERC Rules 602 and 606</t>
  </si>
  <si>
    <r>
      <t>GP</t>
    </r>
    <r>
      <rPr>
        <strike/>
        <sz val="12"/>
        <color indexed="10"/>
        <rFont val="Arial"/>
        <family val="2"/>
      </rPr>
      <t>(h)</t>
    </r>
  </si>
  <si>
    <t>UNFUNDED RESERVES (ENTER NEGATIVE) (NOTE Y)</t>
  </si>
  <si>
    <t>(Worksheet A ln 54.(e))</t>
  </si>
  <si>
    <t>Tax Effect of Permanent and Flow-Through Differences</t>
  </si>
  <si>
    <r>
      <t>NP</t>
    </r>
    <r>
      <rPr>
        <strike/>
        <sz val="12"/>
        <rFont val="Arial"/>
        <family val="2"/>
      </rPr>
      <t>(h)</t>
    </r>
  </si>
  <si>
    <t>Y</t>
  </si>
  <si>
    <t>The cost of service will make a rate base adjustment to remove unfunded reserves associated with contingent liabiliites recorded to Accounts 228.1-228.4 from rate base.</t>
  </si>
  <si>
    <t>SPECIFIED DEFERRED CREDITS - Actual Cycle Only</t>
  </si>
  <si>
    <t>(DEBIT)  CREDIT</t>
  </si>
  <si>
    <t>COLUMN A</t>
  </si>
  <si>
    <t>COLUMN B</t>
  </si>
  <si>
    <t>COLUMN C</t>
  </si>
  <si>
    <t>COLUMN D</t>
  </si>
  <si>
    <t>COLUMN E</t>
  </si>
  <si>
    <t>COLUMN F</t>
  </si>
  <si>
    <t>COLUMN G</t>
  </si>
  <si>
    <t>COLUMN H</t>
  </si>
  <si>
    <t>COLUMN I</t>
  </si>
  <si>
    <t>COLUMN J</t>
  </si>
  <si>
    <t>COLUMN K</t>
  </si>
  <si>
    <t>COLUMN L</t>
  </si>
  <si>
    <t>COLUMN M</t>
  </si>
  <si>
    <t>COLUMN N</t>
  </si>
  <si>
    <t>COLUMN O</t>
  </si>
  <si>
    <t>PER BOOKS</t>
  </si>
  <si>
    <t>NON-APPLICABLE/NON-UTILITY</t>
  </si>
  <si>
    <t>AVERAGE</t>
  </si>
  <si>
    <t>FUNCTIONALIZATION AVERAGE</t>
  </si>
  <si>
    <t xml:space="preserve">ELECTRIC </t>
  </si>
  <si>
    <t>BALANCE AS</t>
  </si>
  <si>
    <t>UTILITY</t>
  </si>
  <si>
    <t>ACCUMULATED DEFERRED FIT ITEMS</t>
  </si>
  <si>
    <t>(B+C+D+E)/2</t>
  </si>
  <si>
    <t>GENERATION</t>
  </si>
  <si>
    <t>TRANSMISSION</t>
  </si>
  <si>
    <t>DISTRIBUTION</t>
  </si>
  <si>
    <t>ACCOUNT 281:</t>
  </si>
  <si>
    <t>TOTAL ACCOUNT 281</t>
  </si>
  <si>
    <t>ACCOUNT 281 - ARO-Related Deferrals</t>
  </si>
  <si>
    <t>ACCOUNT 282:</t>
  </si>
  <si>
    <t>TOTAL ACOUNT 282</t>
  </si>
  <si>
    <t>ACCOUNT 282 - ARO-Related Deferals</t>
  </si>
  <si>
    <t>ACCOUNT 283:</t>
  </si>
  <si>
    <t>DEFD STATE INCOME TAXES</t>
  </si>
  <si>
    <t>TOTAL ACCOUNT 283</t>
  </si>
  <si>
    <t>ACCOUNT 283 - ARO-Related Deferals</t>
  </si>
  <si>
    <t>JURISDICTIONAL AMOUNTS FUNCTIONALIZED</t>
  </si>
  <si>
    <t>TOTAL COMPANY AMOUNTS FUNCTIONALIZED</t>
  </si>
  <si>
    <t>REFUNCTIONALIZED BASED ON JURISDICTIONAL PLANT</t>
  </si>
  <si>
    <t>NOTE:  POST 1970 ACCUMULATED DEFERRED</t>
  </si>
  <si>
    <t xml:space="preserve">             INV TAX CRED. (JDITC) IN A/C 255</t>
  </si>
  <si>
    <t>TOTAL ACCOUNT 255</t>
  </si>
  <si>
    <t>ACCUMULATED DEFERRED INCOME TAX IN ACCOUNT 190 - Actual Cycle Only</t>
  </si>
  <si>
    <t>DEBIT  (CREDIT)</t>
  </si>
  <si>
    <t>ACCOUNT 190:</t>
  </si>
  <si>
    <t>TOTAL ACCOUNT 190</t>
  </si>
  <si>
    <t>ACCOUNT 190 - ARO-Related Deferals</t>
  </si>
  <si>
    <t>Note 1:</t>
  </si>
  <si>
    <t>Tax Year</t>
  </si>
  <si>
    <t>Total
Company</t>
  </si>
  <si>
    <t>FERC FORM 1
Tie-Back</t>
  </si>
  <si>
    <t>Tax Year Factor
(Note 2)</t>
  </si>
  <si>
    <t xml:space="preserve">"Real Estate and Personal Propety Tax Detail 
Annual Tax Expenses by Type (Note 1)"
</t>
  </si>
  <si>
    <t>Transmission Function
(Note 2)</t>
  </si>
  <si>
    <t xml:space="preserve">Note 2: The transmission functional amounts for any Real Estate and Property taxes listed on pages 263 of the FERC Form 1 will be allocated using the transmission functional allocator calculated for each state in Worksheet H of the applicable year that the taxes were assesed.  Real and Personal Property - Other Jurisdictions will be allocated using the Gross Plant Allocator from the applicable year..  </t>
  </si>
  <si>
    <t xml:space="preserve"> Worksheet A Rate Base</t>
  </si>
  <si>
    <t>Gross Plant In Service</t>
  </si>
  <si>
    <t>Line 
No</t>
  </si>
  <si>
    <t>Month</t>
  </si>
  <si>
    <t>Transmission ARO</t>
  </si>
  <si>
    <t>General ARO</t>
  </si>
  <si>
    <t>Intangible</t>
  </si>
  <si>
    <t>(a)</t>
  </si>
  <si>
    <t>(d)</t>
  </si>
  <si>
    <t>(e)</t>
  </si>
  <si>
    <t>(Note A)</t>
  </si>
  <si>
    <t>December Prior to Rate Year</t>
  </si>
  <si>
    <t xml:space="preserve">March </t>
  </si>
  <si>
    <t xml:space="preserve">August </t>
  </si>
  <si>
    <t>December  of Rate Year</t>
  </si>
  <si>
    <t xml:space="preserve">Average of the 13 Monthly Balances </t>
  </si>
  <si>
    <t>Accumulated Depreciation</t>
  </si>
  <si>
    <t>Company Records</t>
  </si>
  <si>
    <t>OATT Ancillary Services (GSU) Plant In Service</t>
  </si>
  <si>
    <t>OATT Ancillary Services (GSU) Accumulated Depreciation</t>
  </si>
  <si>
    <t>Excluded Plant  - Plant In Service</t>
  </si>
  <si>
    <t>Excluded Plant  - Accumulated Depreciation</t>
  </si>
  <si>
    <t>(b)</t>
  </si>
  <si>
    <t>(c)</t>
  </si>
  <si>
    <t>Total Regulatory Deferrals Included in Ratebase</t>
  </si>
  <si>
    <t>Unfunded Reserves Summary (Company Records)</t>
  </si>
  <si>
    <t>53a</t>
  </si>
  <si>
    <t>53b</t>
  </si>
  <si>
    <t xml:space="preserve">NOTE 1: On this worksheet, "Company Records" refers to AEP's property accounting ledger. </t>
  </si>
  <si>
    <t>NOTE 2: The ratebase should not include the unamoritzed balance of hedging gains or losses.</t>
  </si>
  <si>
    <t>Worksheet M Supporting Calculation of Capital Structure and Weighted Average Cost of Capital</t>
  </si>
  <si>
    <t>Proprietary Capital</t>
  </si>
  <si>
    <t>Less Undistributed Sub Earnings (Acct 216.1)</t>
  </si>
  <si>
    <t>Less AOCI (Acct 219.1)</t>
  </si>
  <si>
    <t>(f)=(b)-( c)-(d)-( e)</t>
  </si>
  <si>
    <t xml:space="preserve"> (FF1 112.16)</t>
  </si>
  <si>
    <t xml:space="preserve"> (FF1 250-251)</t>
  </si>
  <si>
    <t xml:space="preserve"> (FF1 112.12)</t>
  </si>
  <si>
    <t>(FF1 112.15)</t>
  </si>
  <si>
    <t>Bonds</t>
  </si>
  <si>
    <t>Less: Reacquired Bonds</t>
  </si>
  <si>
    <t>Less: Fair Value Hedges</t>
  </si>
  <si>
    <t>(f)</t>
  </si>
  <si>
    <t>(g)=(b)-( c)+(d)+( e)-(f)</t>
  </si>
  <si>
    <t xml:space="preserve"> (FF1 112.18)</t>
  </si>
  <si>
    <t xml:space="preserve"> (FF1 112.19)</t>
  </si>
  <si>
    <t xml:space="preserve"> (FF1 112.20)</t>
  </si>
  <si>
    <t>(FF1 112.21)</t>
  </si>
  <si>
    <t>FF1, page 257, Col. (h) - Note 1</t>
  </si>
  <si>
    <t>NOTE 1:  The balance of fair value hedges on outstanding long term debt are to be excluded from the balance of long term debt included in the formula's capital structure. (Page 257 Column H of the FF1)</t>
  </si>
  <si>
    <t>(g)</t>
  </si>
  <si>
    <t>CALCULATION OF HEDGE GAINS/LOSSES TO BE EXCLUDED FROM TCOS</t>
  </si>
  <si>
    <t>Dividends on Preferred Stock (Acct 437, FF1 118.29))</t>
  </si>
  <si>
    <t>Gross Proceeds Outstanding Long-Term Debt</t>
  </si>
  <si>
    <t>Acct 223
LT Advances from Assoc. Companies</t>
  </si>
  <si>
    <t>Acct 224
Senior Unsecured Notes</t>
  </si>
  <si>
    <t>323.197.b (Notes J &amp; M)</t>
  </si>
  <si>
    <t>GP</t>
  </si>
  <si>
    <t xml:space="preserve"> (Note T)</t>
  </si>
  <si>
    <t>Excess / (Deficit) Deferred Income Taxes will be amortized over the average remaining life of the assets to which it relates, unless the Commission requires a different amortization period. The Tax Effect of Permanent Differences captures the differences in the income taxes due under the Federal and State tax calculations that are not the result of a timing difference, including but not limited to depreciation related to capitalized AFUDC equity and meals and entertainment deductions. The Tax Effect of Flow-Through differences captures current tax expense related to timing differences on items for which tax deductions were used to reduce customer rates through the use of flow-through accounting in a prior period.  Transmission balances for the projected or actual period, will be filed and posted as part of the informational filing.</t>
  </si>
  <si>
    <t>On this worksheet, "Company Records" refers to AEP's tax forecast and accounting ledger.  The PTRR will use</t>
  </si>
  <si>
    <t>projected ending balances and reflect proration required by IRS Letter Rule Section I.I67(I)-I(h)(6)(ii).  Line item detail of actual deferred tax items will be included on Worksheets B-1 and B-2.</t>
  </si>
  <si>
    <t>Stores Expense (Undistributed) - Account 163</t>
  </si>
  <si>
    <t>Prepayment Balance Summary (Note 1)</t>
  </si>
  <si>
    <t>Account 4560015, Associated Business Development - (Company Records - Notes 1, 2)</t>
  </si>
  <si>
    <t>Account 456 - Other Electric Revenues - (Company Records - Notes 1,2)</t>
  </si>
  <si>
    <t>Note 1: The taxes assessed on each transmission company can differ from year to year and between transmission companies by both the type of taxes and the states in which they were assessed.  Therefore, for each company, the types and jurisdictions of tax expense recorded on this page could differ from the same page in the same company's prior year template or from this page in other transmission companies' current year templates. For each update, this sheet will be revised to ensure that the total activity recorded hereon equals the total reported in account 408.1 on P. 114, Ln 14.(c) of the Ferc Form 1.</t>
  </si>
  <si>
    <t>Interest on Long Term Debt - Accts 221 - 224 (256-257.33.i)</t>
  </si>
  <si>
    <t>Amort of Debt Discount &amp; Expense - Acct 428 (117.63.c)</t>
  </si>
  <si>
    <t>Amort of Loss on Reacquired Debt - Acct 428.1 (117.64.c)</t>
  </si>
  <si>
    <t>Less: Amort of Premium on Debt - Acct 429 (117.65.c)</t>
  </si>
  <si>
    <t>Less: Amort of Gain on Reacquired Debt - Acct 429.1 (117.66.c)</t>
  </si>
  <si>
    <t>Prepayment Balance will not include: (i) federal and state income tax payments made to offset additional tax liabilities resulting (or expected to result) from prior federal or state audits or from the filing of one or more amended income tax returns; (ii) outstanding income tax refunds due to [company] resulting (or expected to result) from prior federal or state audits or from the filing of one or more amended income tax returns; or (iii) prepayments of federal or state income taxes which are attributable to income earned during periods prior to January 1 of the year depicted in the Balance Sheet (as described in USofA Account 236).</t>
  </si>
  <si>
    <r>
      <t>Transmission Plant Held For Future Use</t>
    </r>
    <r>
      <rPr>
        <b/>
        <sz val="10"/>
        <rFont val="Arial"/>
        <family val="2"/>
      </rPr>
      <t xml:space="preserve"> (Included in total on line 43)</t>
    </r>
  </si>
  <si>
    <t>Calculation of Post-employment Benefits Other than Pensions Expenses Allocable to Transmission Service</t>
  </si>
  <si>
    <t>Worksheet O - PBOP Support</t>
  </si>
  <si>
    <t>PBOP</t>
  </si>
  <si>
    <t>Calculation of PBOP Expenses</t>
  </si>
  <si>
    <t>AEP System PBOP Rate</t>
  </si>
  <si>
    <t xml:space="preserve">Total AEP System PBOP expenses </t>
  </si>
  <si>
    <t>Base Year relating to retired personnel</t>
  </si>
  <si>
    <t xml:space="preserve">Amount allocated on Labor </t>
  </si>
  <si>
    <t>Total AEP System Direct Labor Expense</t>
  </si>
  <si>
    <t>AEP System PBOP expense per dollar of direct labor (PBOP Rate)</t>
  </si>
  <si>
    <t>Currently Approved PBOP Rate</t>
  </si>
  <si>
    <t>Base PBOP TransCo labor expensed in current year</t>
  </si>
  <si>
    <t>Direct PBOP Expense per Actuarial Report</t>
  </si>
  <si>
    <t>Additional PBOP Ledger Entry (From Company Records)</t>
  </si>
  <si>
    <t>Medicare Credit</t>
  </si>
  <si>
    <t>PBOP Expenses From AEP Affiliates (From Company Records)</t>
  </si>
  <si>
    <t xml:space="preserve">Actual PBOP Expense </t>
  </si>
  <si>
    <t>PBOP Adjustment</t>
  </si>
  <si>
    <t>Note: PBOP Expense will be calculated in accordance with the settlement in Docket ER10-355.</t>
  </si>
  <si>
    <t>As part of the annual update process, AEP will provide to transmission customers and include in its informational filing an independently prepared actuarial report that includes a ten (10) year forecast of PBOP expenses.  During the annual update process conducted for rate year 2018 and every four years thereafter, Worksheet O will be used to determine whether the PBOP allowance rate ($PBOP per $Direct O&amp;M Labor) should be adjusted going forward for the next four years.  If the annual actuarial report issued during the year of any PBOP rate review projects PBOP costs during the next four years that, when allocated to the AEP Transmission Companies based on their projected direct labor expenses over that same projected four-year period, absent a change in the PBOP Rate, will likely cause the AEP East Transmission Companies to over or under collect their cumulative PBOP expenses by more than 20% of the projected next four year’s total PBOP expense, taking into account the net over or under collection of such expenses during the previous four years, the PBOP rate shall be adjusted.  In order to determine whether continued use of the then approved PBOP rate is likely to result in the AEP Companies’ incurrence of a cumulative allowance of PBOP costs under the formula rate will result in a cumulative over or under-recoery of actual PBOP expenses exceeding 20% over the subsequent four year period, Worksheet O will be used to determine (a) the level of cumulative over or under collections of PBOP expense during the time since the PBOP allowance rate was last set, including carrying costs based on the weighted average cost of capital each year from the formula rate actual transmission cost-of-service (b) the cumulative net present value of projected PBOP costs during the next four years as estimated by the then current actuarial report, assuming a discount rate equal to the actual transmission cost of service average cost of capital for the immediately prior calendar year and (c) the cumulative net present value of continued collections over the next four years based on the projected AEP Transmission Companies direct labor expenses and the then effective PBOP allowance rate assuming a discount rate equal to the prior year weighted average cost of capital.  If the absolute value of (a)+(b)-(c) exceeds 20% of (b), then the PBOP allowance rate used in the formula rate calculation shall be changed to the value that will cause the projected result of (a)+(b)-(c) to equal zero.  If the projected over or under collection during the next four years, (a)+(b)-(c), is less than 20% of (b), then the PBOP Rate will continue in effect for the next four years at the then effective rate.  If it is determined through this procedure AEP Companies will over-recover or under-recover actual PBOP expenses by more than 20% over the subsequent four-year period, AEP shall make a filing under FPA Section 205 to change the PBOP Rate  stated in the formula rate shown on Worksheet O.  No other changes to the formula rate may be included in that filing.</t>
  </si>
  <si>
    <t>The Post-employment Benefit Other than Pension (PBOP) expense is fixed based on an approved ratio of PBOP expense to direct labor expense.</t>
  </si>
  <si>
    <t>See note K above. Recoverable PBOP expense is based on a rate of $(0.058) cents per dollar of direct labor.  This rate may be adjusted up or down every four years based on a comparison of the Allowable TransCo PBOP Expense and the Actual PBOP Expense for a four year Historic and four year Projected  period.  If the over or under collection is greater than plus or minus 20% of the recoverable amount, an adjustment will be proposed in a Section 205 rate filing.</t>
  </si>
  <si>
    <t>Common Stock cost rate (ROE) = 11.49%, the rate accepted by FERC in Docket No. ER10-355.  It includes an additional 50 basis points for PJM RTO membership.  All Transmission Companies other than AEP Appalachian Transmission Company utilize their own capital structure and costs as shown on Worksheet M.  The calculations on Worksheet M will use the projected or actual 13 month average balances of long-term debt, common and preferred equity and calendar year long term debt interest expenses, preferred dividends and approved ROE.  The long term debt balances and long term debt cost rate shall not include any amounts related to hedging activity.  As shown on Worksheet Q, the AEP Appalachian Transmission Company capital structure and weighted cost of capital (WACC) shall be based on the weighted composite of the AEP East Operating Companies beginning and ending average outstanding LTD and PS issuances with the common equity portion in Docket No. ER08-1329, and (2) the weighted composite LTD and PS cost using projected or actual calendar year LTD expense and PS dividends of the AEP East Operating Companies excluding all interest rate hedging costs and/or gains, until the Company establishes its own actual capital structure.</t>
  </si>
  <si>
    <t>Transmission Plant Balances in this study are projected or actual average 13 month balances.</t>
  </si>
  <si>
    <t>AEP Kentucky Transmission Company</t>
  </si>
  <si>
    <t>Prepaid Insurance</t>
  </si>
  <si>
    <t>Misc General Expenses</t>
  </si>
  <si>
    <t>Corporate &amp; Fiscal Expenses</t>
  </si>
  <si>
    <t>Assoc Business Development Exp</t>
  </si>
  <si>
    <t>KENTUCKY JURISDICTION</t>
  </si>
  <si>
    <t>Real and Personal Property - Kentucky</t>
  </si>
  <si>
    <t>RTEP ID: b1495 (Add an additional 765/345 kV transformer at Baker Station)</t>
  </si>
  <si>
    <t>No</t>
  </si>
  <si>
    <t>AEPTCo Subsidiaraies in PJM</t>
  </si>
  <si>
    <t>-</t>
  </si>
  <si>
    <t>=</t>
  </si>
  <si>
    <t xml:space="preserve">Kentucky State Tax Rate </t>
  </si>
  <si>
    <t>EFFECTIVE AS OF 07/01/2015</t>
  </si>
  <si>
    <r>
      <t xml:space="preserve">Note: </t>
    </r>
    <r>
      <rPr>
        <sz val="12"/>
        <rFont val="Arial MT"/>
      </rPr>
      <t>Per the Settlement in Docket No. ER10-355, Appendix A.1.2, AEP KENTUCKY TRANSMISSION COMPANY shall use the depreciation rates shown above by FERC Account until such time as the FERC approves new depreciation rates pusuant to a Section 205 or 206 filing to change rates.</t>
    </r>
  </si>
  <si>
    <r>
      <t>Note:</t>
    </r>
    <r>
      <rPr>
        <sz val="12"/>
        <rFont val="Arial"/>
        <family val="2"/>
      </rPr>
      <t xml:space="preserve"> AEP KENTUCKY TRANSMISSION COMPANY shall initially use the composite depreciation rate for KPCo shown above to estimate depreciation expense for transmission projects in Worksheets J and K until a composite depreciation rate based on transmission plant in service and depreciation expenses recorded by AEP KENTUCKY TRANSMISSION COMPANY for its own transmission facilities can be calculated in AEP KENTUCKY TRANSMISSION COMPANY's the first Annual Update including a True-Up TCOS.</t>
    </r>
  </si>
  <si>
    <t>KPCo</t>
  </si>
  <si>
    <t>Z</t>
  </si>
  <si>
    <t xml:space="preserve">Per the settlement in EL17-13, equity is limited to 55% in of the Company's capital structure.  If the percentage of actual equity exceeds the cap, the excess is included as long term debt in the capital structure.  </t>
  </si>
  <si>
    <t>Capital Structure Equity Limit (Note Z)</t>
  </si>
  <si>
    <t>Cap Limit</t>
  </si>
  <si>
    <t>AEP  KENTUCKY TRANSMISSION COMPANY, INC.</t>
  </si>
  <si>
    <t>Worksheet B-3</t>
  </si>
  <si>
    <t>Excess/ Deficient ADIT Worksheet</t>
  </si>
  <si>
    <t>Debit/(Credit)</t>
  </si>
  <si>
    <t xml:space="preserve">I </t>
  </si>
  <si>
    <t xml:space="preserve">J </t>
  </si>
  <si>
    <t>Balance Sheet Entries</t>
  </si>
  <si>
    <t>Tax Expense Entries</t>
  </si>
  <si>
    <t xml:space="preserve">Line No. </t>
  </si>
  <si>
    <t>Account (NOTE A)</t>
  </si>
  <si>
    <t>Description of Account</t>
  </si>
  <si>
    <t>Protected
Unprotected</t>
  </si>
  <si>
    <t>Tax Rate Change Act</t>
  </si>
  <si>
    <t>Excess Balance at Remeasurement</t>
  </si>
  <si>
    <t>Amortization Methodology (NOTE C)</t>
  </si>
  <si>
    <t>Amotization Period</t>
  </si>
  <si>
    <t>Excess ADIT Regulatory  Offset</t>
  </si>
  <si>
    <t>Excess ADIT in Utility Deferrals</t>
  </si>
  <si>
    <t>Balance Sheet Account Reclassifications</t>
  </si>
  <si>
    <t>410/411
Excess Amortization NOTE C</t>
  </si>
  <si>
    <t>410/411 Deferred Tax Expense/ (Benefit)</t>
  </si>
  <si>
    <t>Reference</t>
  </si>
  <si>
    <t>Sum of Cols (I) - (O)</t>
  </si>
  <si>
    <t>Deferred Tax Account (NOTE B)</t>
  </si>
  <si>
    <t>1a</t>
  </si>
  <si>
    <r>
      <t>190</t>
    </r>
    <r>
      <rPr>
        <sz val="9"/>
        <color indexed="10"/>
        <rFont val="Arial"/>
        <family val="2"/>
      </rPr>
      <t>4</t>
    </r>
    <r>
      <rPr>
        <sz val="9"/>
        <rFont val="Arial"/>
        <family val="2"/>
      </rPr>
      <t>001</t>
    </r>
  </si>
  <si>
    <t xml:space="preserve">ADFIT - FAS 109 Excess </t>
  </si>
  <si>
    <t>N/A</t>
  </si>
  <si>
    <t>TCJA 2017</t>
  </si>
  <si>
    <t>WS B - 2 Col B/C, ADIT Item 2.10</t>
  </si>
  <si>
    <t>1b</t>
  </si>
  <si>
    <r>
      <t>282</t>
    </r>
    <r>
      <rPr>
        <sz val="9"/>
        <color indexed="10"/>
        <rFont val="Arial"/>
        <family val="2"/>
      </rPr>
      <t>1</t>
    </r>
    <r>
      <rPr>
        <sz val="9"/>
        <rFont val="Arial"/>
        <family val="2"/>
      </rPr>
      <t>001</t>
    </r>
  </si>
  <si>
    <t>ADFIT - Utility Property</t>
  </si>
  <si>
    <t>Protected</t>
  </si>
  <si>
    <t>ARAM</t>
  </si>
  <si>
    <t>Life of Asset</t>
  </si>
  <si>
    <t>1c</t>
  </si>
  <si>
    <t>Unprotected</t>
  </si>
  <si>
    <t>10 Years</t>
  </si>
  <si>
    <t>1/2018 - 12/2027</t>
  </si>
  <si>
    <t>WS B - 1 Col N, ADIT Items 5.11 &amp; 5.12</t>
  </si>
  <si>
    <t>1d</t>
  </si>
  <si>
    <r>
      <t>282</t>
    </r>
    <r>
      <rPr>
        <sz val="9"/>
        <color indexed="10"/>
        <rFont val="Arial"/>
        <family val="2"/>
      </rPr>
      <t>4</t>
    </r>
    <r>
      <rPr>
        <sz val="9"/>
        <rFont val="Arial"/>
        <family val="2"/>
      </rPr>
      <t>001</t>
    </r>
  </si>
  <si>
    <t>ADFIT - Utility Property FAS 109 Excess</t>
  </si>
  <si>
    <t>WS B - 1 Col B/C, ADIT Item 5.15</t>
  </si>
  <si>
    <t>1e</t>
  </si>
  <si>
    <t>1f</t>
  </si>
  <si>
    <r>
      <t>283</t>
    </r>
    <r>
      <rPr>
        <sz val="9"/>
        <color indexed="10"/>
        <rFont val="Arial"/>
        <family val="2"/>
      </rPr>
      <t>1</t>
    </r>
    <r>
      <rPr>
        <sz val="9"/>
        <rFont val="Arial"/>
        <family val="2"/>
      </rPr>
      <t>001</t>
    </r>
  </si>
  <si>
    <t>ADFIT - Other Utility Deferrals</t>
  </si>
  <si>
    <t>WS B - 1 Col N, ADIT Item 9.03</t>
  </si>
  <si>
    <t>1g</t>
  </si>
  <si>
    <r>
      <t>283</t>
    </r>
    <r>
      <rPr>
        <sz val="9"/>
        <color indexed="10"/>
        <rFont val="Arial"/>
        <family val="2"/>
      </rPr>
      <t>4</t>
    </r>
    <r>
      <rPr>
        <sz val="9"/>
        <rFont val="Arial"/>
        <family val="2"/>
      </rPr>
      <t>001</t>
    </r>
  </si>
  <si>
    <t>ADFIT - Other FAS 109 Excess</t>
  </si>
  <si>
    <t>WS B - 1 Col B/C, ADIT Item 9.06</t>
  </si>
  <si>
    <t>1h</t>
  </si>
  <si>
    <t>NOTE  D</t>
  </si>
  <si>
    <t>Regulatory Deferral Accounts</t>
  </si>
  <si>
    <t>2a</t>
  </si>
  <si>
    <t xml:space="preserve">Regulatory Asset  </t>
  </si>
  <si>
    <t xml:space="preserve"> Company Records</t>
  </si>
  <si>
    <t>2b</t>
  </si>
  <si>
    <t>Regulatory Liability</t>
  </si>
  <si>
    <t>FERC Form 1 p. 278 Ln. 3 Cols, (b) /(f)</t>
  </si>
  <si>
    <t>2c</t>
  </si>
  <si>
    <r>
      <t xml:space="preserve">NOTE </t>
    </r>
    <r>
      <rPr>
        <sz val="9"/>
        <color indexed="10"/>
        <rFont val="Arial"/>
        <family val="2"/>
      </rPr>
      <t>E</t>
    </r>
  </si>
  <si>
    <t>NOTE A</t>
  </si>
  <si>
    <t xml:space="preserve">In order to ensure ratebase neutrality, AEP utilizes the fourth digit of its seven digit FERC Tax subaccount numbers to identify balances associated with uitlity operations vs regulatory reporting requirements.  A "1" in the fourth digit of a FERC tax account refers to the utility operations balance or entry.  Accounts with the "1" designation will be included in the determination of ratebase to be recovered in the formula rate.   A "4"  in the four place of the account number indicates accounts used to track regulatory accounting requirements.  The excess ADIT amounts recorded in accounts with the  "4" designation will be contra to the "1" balance, which will ensure that in the formula rate the excess amount will be part of ratebase, but at the total FERC account level the tax asset or liability will be recorded at the current Federal FIT rate.   The amounts recored in the "4" will be offset on a net basis in  the regulatory asset or liability subaccount established for this purpose. </t>
  </si>
  <si>
    <t>NOTE B:</t>
  </si>
  <si>
    <t>The amount of the FIT gross up to recorded on regulatory assets and liabilities will be reported on the first line of ADIT accounts provided for each specific change in tax rates.</t>
  </si>
  <si>
    <t>NOTE C:</t>
  </si>
  <si>
    <r>
      <t xml:space="preserve">The ten year amortization period for unprotected excess ADIT is consistent with the period agreed upon by the Company and its customers and approved for the Company's PJM formula rates. </t>
    </r>
    <r>
      <rPr>
        <i/>
        <sz val="9"/>
        <rFont val="Arial"/>
        <family val="2"/>
      </rPr>
      <t xml:space="preserve">Appalachian Power Company, et al, 166 FERC ¶ 61,135 (2019). </t>
    </r>
  </si>
  <si>
    <t>NOTE D:</t>
  </si>
  <si>
    <t xml:space="preserve"> In  the event of future tax rate changes, additional lines will be inserted as required to reflect  any new ADIT or regulatory deferral accounts that may be necessary to track that tax rate change.</t>
  </si>
  <si>
    <t>NOTE E:</t>
  </si>
  <si>
    <t>1650001</t>
  </si>
  <si>
    <t>165000219</t>
  </si>
  <si>
    <t>Prepaid Taxes</t>
  </si>
  <si>
    <t>12/31/2022 Ending Balance</t>
  </si>
  <si>
    <t>1/1/2022 Beginning  Balances</t>
  </si>
  <si>
    <t>For Year Ended December 31, 2023</t>
  </si>
  <si>
    <t>Research, Develop&amp;Demonstr Exp</t>
  </si>
  <si>
    <t>9280000</t>
  </si>
  <si>
    <t>Regulatory Commission Exp</t>
  </si>
  <si>
    <t>9280001</t>
  </si>
  <si>
    <t>Regulatory Commission Exp-Adm</t>
  </si>
  <si>
    <t>9280002</t>
  </si>
  <si>
    <t>Regulatory Commission Exp-Case</t>
  </si>
  <si>
    <t>9280005</t>
  </si>
  <si>
    <t>Reg Com Exp-FERC Trans Cases</t>
  </si>
  <si>
    <t>9301000</t>
  </si>
  <si>
    <t>General Advertising Expenses</t>
  </si>
  <si>
    <t>9301001</t>
  </si>
  <si>
    <t>Newspaper Advertising Space</t>
  </si>
  <si>
    <t>9301010</t>
  </si>
  <si>
    <t>Publicity</t>
  </si>
  <si>
    <t>9301012</t>
  </si>
  <si>
    <t>Public Opinion Surveys</t>
  </si>
  <si>
    <t>9301014</t>
  </si>
  <si>
    <t>Video Communications</t>
  </si>
  <si>
    <t>9301015</t>
  </si>
  <si>
    <t>Other Corporate Comm Exp</t>
  </si>
  <si>
    <t>AEP EAST TRANSMISSION COMPANIES</t>
  </si>
  <si>
    <t>Docket ER20-1888-000</t>
  </si>
  <si>
    <t>AEP APPALACHIAN TRANSMISSION COMPANY</t>
  </si>
  <si>
    <t>Compliance Filing</t>
  </si>
  <si>
    <t>ATTACHMENT H-20B</t>
  </si>
  <si>
    <t>Attachment 12</t>
  </si>
  <si>
    <t>WORKSHEET B-3-A</t>
  </si>
  <si>
    <t>Page 1 of 5</t>
  </si>
  <si>
    <t>TAX REMEASUREMENT  WORKSHEET</t>
  </si>
  <si>
    <t>TAX CUT and JOBS ACT of  2017</t>
  </si>
  <si>
    <t>F=E/C</t>
  </si>
  <si>
    <t>H = E + G</t>
  </si>
  <si>
    <t>J = C - H</t>
  </si>
  <si>
    <t>Line No.</t>
  </si>
  <si>
    <t xml:space="preserve">Utility Account </t>
  </si>
  <si>
    <t>12/31/17 Pre-remeasurement Balance</t>
  </si>
  <si>
    <t>Remeasurement Amount (NOTE 1)</t>
  </si>
  <si>
    <t>Remeasurement Percentage (NOTE 2)</t>
  </si>
  <si>
    <t>190/283 Recalss (NOTE 3)</t>
  </si>
  <si>
    <t>Total Excess/Deficiency by Account (NOTE 4)</t>
  </si>
  <si>
    <t>Protected / Unprotected</t>
  </si>
  <si>
    <t>ADIT Deferral After Remeasurement</t>
  </si>
  <si>
    <t>190 Utility Balance</t>
  </si>
  <si>
    <t>2018 FF1 P. 234 Col (b) Line 8</t>
  </si>
  <si>
    <t>Less: Deferred State Taxes</t>
  </si>
  <si>
    <t>1901001</t>
  </si>
  <si>
    <t>2821001</t>
  </si>
  <si>
    <t>2018 FF1 P. 274 Col (b) Line 5</t>
  </si>
  <si>
    <t>283 Utility Balance</t>
  </si>
  <si>
    <t>2018 FF1 P. 276 Col (b) Line 9</t>
  </si>
  <si>
    <t>Less: Accum Deferred SIT -Other</t>
  </si>
  <si>
    <t>2831001</t>
  </si>
  <si>
    <t xml:space="preserve">GENERAL NOTE:  This worksheet will summarize remeasurement adjustments in ADIT Accounts required by changes in either Federal or State Income Tax Rates.  A new sheet will be included in the working formula for each change to tax rates that may occur while this formula rate is in effect. New pages will be designated by incrementing the suffix letter in the workpaper name (i.e. B-3-A, B-3-B, etc.)  </t>
  </si>
  <si>
    <t xml:space="preserve">NOTE 1: </t>
  </si>
  <si>
    <t xml:space="preserve">Amount of Remeasurement in Column E will be based on supporting workpapers showing the remeasurement of individual ADIT items in each tax deferral account, and will indicate whether each remeasured ADIT item will be treated as protected or unprotected.  The resulting totals will be shown on this worksheet for each ADIT account. </t>
  </si>
  <si>
    <t>NOTE 2:</t>
  </si>
  <si>
    <t xml:space="preserve">Remeasurement calculation may not equal 40% of the December 31, 2017  deferral balance because of specific ADIT items that are not subject to remeasurement. </t>
  </si>
  <si>
    <t>NOTE 3:</t>
  </si>
  <si>
    <t>As part of the remeasurement calculation, the remeasurement ADIT balances in account 1901001 were reclassed to account 2831001 to group nonproperty utility deferrals together as one timing difference.</t>
  </si>
  <si>
    <t>NOTE 4:</t>
  </si>
  <si>
    <t>Ties to Transmission Company's Workpaper B-3, Column F, showing the intial remeasurement value determined as a result of the Tax Cut and Jobs Act of 2017.</t>
  </si>
  <si>
    <t>Transmission Accumulated Depreciation net of GSU, and Other Excludable Balances (Ln 28d - 42c - 42e)</t>
  </si>
  <si>
    <t>An over or under collection will be recovered prorata over 2023, held for 2024 and returned prorate over 2025</t>
  </si>
  <si>
    <t>2024 Forecasted Revenue Requirement For Year 2024</t>
  </si>
  <si>
    <t>An over or under collection will be recovered prorata over 2024, held for 2025 and returned prorate over 2026</t>
  </si>
  <si>
    <t>2024 Collections</t>
  </si>
  <si>
    <t>GP=</t>
  </si>
  <si>
    <t>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</si>
</sst>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0"/>
    <numFmt numFmtId="167" formatCode="#,##0.0000"/>
    <numFmt numFmtId="168" formatCode="#,##0.000"/>
    <numFmt numFmtId="169" formatCode="0.0000"/>
    <numFmt numFmtId="170" formatCode="&quot;$&quot;#,##0"/>
    <numFmt numFmtId="171" formatCode="&quot;$&quot;#,##0.000"/>
    <numFmt numFmtId="172" formatCode="&quot;$&quot;#,##0.00"/>
    <numFmt numFmtId="173" formatCode="_(* #,##0_);_(* \(#,##0\);_(* &quot;-&quot;??_);_(@_)"/>
    <numFmt numFmtId="174" formatCode="_(&quot;$&quot;* #,##0_);_(&quot;$&quot;* \(#,##0\);_(&quot;$&quot;* &quot;-&quot;??_);_(@_)"/>
    <numFmt numFmtId="175" formatCode="&quot;$&quot;#,##0.000000000000"/>
    <numFmt numFmtId="176" formatCode="0.0000%"/>
    <numFmt numFmtId="177" formatCode="_(* #,##0.0_);_(* \(#,##0.0\);_(* &quot;-&quot;??_);_(@_)"/>
    <numFmt numFmtId="178" formatCode="0.000000"/>
    <numFmt numFmtId="179" formatCode="_(* #,##0.0000_);_(* \(#,##0.0000\);_(* &quot;-&quot;_);_(@_)"/>
    <numFmt numFmtId="180" formatCode="_(* #,##0.00000_);_(* \(#,##0.00000\);_(* &quot;-&quot;_);_(@_)"/>
    <numFmt numFmtId="181" formatCode="_(* #,##0.0000000000_);_(* \(#,##0.0000000000\);_(* &quot;-&quot;_);_(@_)"/>
    <numFmt numFmtId="182" formatCode="_(* #,##0.00000_);_(* \(#,##0.00000\);_(* &quot;-&quot;??_);_(@_)"/>
    <numFmt numFmtId="183" formatCode="#,##0.0000000"/>
    <numFmt numFmtId="184" formatCode="_(* #,##0.0000000_);_(* \(#,##0.0000000\);_(* &quot;-&quot;_);_(@_)"/>
    <numFmt numFmtId="185" formatCode="#,##0\ ;\(#,##0\)"/>
    <numFmt numFmtId="186" formatCode="_(* #,##0.0000_);_(* \(#,##0.0000\);_(* &quot;-&quot;??_);_(@_)"/>
    <numFmt numFmtId="187" formatCode="0.0%"/>
    <numFmt numFmtId="188" formatCode="_(* #,##0.000_);_(* \(#,##0.000\);_(* &quot;-&quot;_);_(@_)"/>
    <numFmt numFmtId="189" formatCode="#,##0.000000"/>
    <numFmt numFmtId="190" formatCode="mmmm\ d\,\ yyyy"/>
    <numFmt numFmtId="191" formatCode="m/d/yy;@"/>
    <numFmt numFmtId="192" formatCode="0.000000%"/>
    <numFmt numFmtId="193" formatCode="0_);\(0\)"/>
    <numFmt numFmtId="194" formatCode="0.0"/>
    <numFmt numFmtId="195" formatCode="&quot;$&quot;#,##0.0000"/>
    <numFmt numFmtId="196" formatCode="_(* #,##0.00_);_(* \(#,##0.00\);_(* &quot;-&quot;_);_(@_)"/>
    <numFmt numFmtId="197" formatCode="[$-409]mmmm\-yy;@"/>
    <numFmt numFmtId="198" formatCode="mm/dd/yy"/>
  </numFmts>
  <fonts count="158">
    <font>
      <sz val="10"/>
      <name val="Arial"/>
    </font>
    <font>
      <sz val="11"/>
      <color theme="1"/>
      <name val="Calibri"/>
      <family val="2"/>
      <scheme val="minor"/>
    </font>
    <font>
      <sz val="10"/>
      <name val="Arial"/>
      <family val="2"/>
    </font>
    <font>
      <sz val="12"/>
      <name val="Arial MT"/>
    </font>
    <font>
      <b/>
      <sz val="14"/>
      <name val="Arial"/>
      <family val="2"/>
    </font>
    <font>
      <sz val="12"/>
      <name val="Arial"/>
      <family val="2"/>
    </font>
    <font>
      <b/>
      <sz val="12"/>
      <name val="Arial"/>
      <family val="2"/>
    </font>
    <font>
      <b/>
      <sz val="10"/>
      <color indexed="10"/>
      <name val="Arial"/>
      <family val="2"/>
    </font>
    <font>
      <sz val="10"/>
      <color indexed="12"/>
      <name val="Arial"/>
      <family val="2"/>
    </font>
    <font>
      <b/>
      <sz val="10"/>
      <name val="Arial"/>
      <family val="2"/>
    </font>
    <font>
      <b/>
      <u/>
      <sz val="12"/>
      <name val="Arial"/>
      <family val="2"/>
    </font>
    <font>
      <b/>
      <sz val="16"/>
      <name val="Arial"/>
      <family val="2"/>
    </font>
    <font>
      <sz val="10"/>
      <name val="Arial"/>
      <family val="2"/>
    </font>
    <font>
      <u/>
      <sz val="10"/>
      <name val="Arial"/>
      <family val="2"/>
    </font>
    <font>
      <u/>
      <sz val="12"/>
      <name val="Arial"/>
      <family val="2"/>
    </font>
    <font>
      <sz val="10"/>
      <name val="Times New Roman"/>
      <family val="1"/>
    </font>
    <font>
      <i/>
      <sz val="10"/>
      <name val="Arial"/>
      <family val="2"/>
    </font>
    <font>
      <b/>
      <u/>
      <sz val="10"/>
      <name val="Arial"/>
      <family val="2"/>
    </font>
    <font>
      <sz val="14"/>
      <name val="Arial"/>
      <family val="2"/>
    </font>
    <font>
      <sz val="12"/>
      <color indexed="12"/>
      <name val="Arial"/>
      <family val="2"/>
    </font>
    <font>
      <sz val="10"/>
      <color indexed="12"/>
      <name val="Arial"/>
      <family val="2"/>
    </font>
    <font>
      <b/>
      <sz val="12"/>
      <color indexed="12"/>
      <name val="Arial"/>
      <family val="2"/>
    </font>
    <font>
      <sz val="10"/>
      <color indexed="10"/>
      <name val="Arial"/>
      <family val="2"/>
    </font>
    <font>
      <sz val="12"/>
      <color indexed="10"/>
      <name val="Arial"/>
      <family val="2"/>
    </font>
    <font>
      <sz val="9"/>
      <name val="Arial"/>
      <family val="2"/>
    </font>
    <font>
      <b/>
      <sz val="9"/>
      <name val="Arial"/>
      <family val="2"/>
    </font>
    <font>
      <sz val="12"/>
      <name val="Arial"/>
      <family val="2"/>
    </font>
    <font>
      <sz val="12"/>
      <color indexed="12"/>
      <name val="Arial"/>
      <family val="2"/>
    </font>
    <font>
      <i/>
      <sz val="12"/>
      <name val="Arial"/>
      <family val="2"/>
    </font>
    <font>
      <b/>
      <sz val="12"/>
      <color indexed="10"/>
      <name val="Helv"/>
    </font>
    <font>
      <b/>
      <sz val="12"/>
      <color indexed="10"/>
      <name val="Arial Narrow"/>
      <family val="2"/>
    </font>
    <font>
      <b/>
      <sz val="18"/>
      <name val="Arial"/>
      <family val="2"/>
    </font>
    <font>
      <sz val="10"/>
      <name val="Arial"/>
      <family val="2"/>
    </font>
    <font>
      <sz val="10"/>
      <name val="MS Sans Serif"/>
      <family val="2"/>
    </font>
    <font>
      <b/>
      <sz val="10"/>
      <name val="MS Sans Serif"/>
      <family val="2"/>
    </font>
    <font>
      <sz val="11"/>
      <color indexed="8"/>
      <name val="Arial Narrow"/>
      <family val="2"/>
    </font>
    <font>
      <sz val="11"/>
      <color indexed="9"/>
      <name val="Arial Narrow"/>
      <family val="2"/>
    </font>
    <font>
      <sz val="11"/>
      <color indexed="20"/>
      <name val="Arial Narrow"/>
      <family val="2"/>
    </font>
    <font>
      <sz val="8"/>
      <name val="Arial"/>
      <family val="2"/>
    </font>
    <font>
      <b/>
      <i/>
      <sz val="14"/>
      <name val="Arial"/>
      <family val="2"/>
    </font>
    <font>
      <b/>
      <sz val="11"/>
      <name val="Arial"/>
      <family val="2"/>
    </font>
    <font>
      <b/>
      <sz val="24"/>
      <name val="Arial Narrow"/>
      <family val="2"/>
    </font>
    <font>
      <b/>
      <i/>
      <sz val="12"/>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b/>
      <sz val="11"/>
      <color indexed="63"/>
      <name val="Arial Narrow"/>
      <family val="2"/>
    </font>
    <font>
      <sz val="8"/>
      <color indexed="38"/>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b/>
      <sz val="14"/>
      <name val="MS Serif"/>
      <family val="1"/>
    </font>
    <font>
      <sz val="10"/>
      <name val="MS Serif"/>
      <family val="1"/>
    </font>
    <font>
      <b/>
      <sz val="10"/>
      <color indexed="8"/>
      <name val="Arial"/>
      <family val="2"/>
    </font>
    <font>
      <b/>
      <sz val="10"/>
      <color indexed="12"/>
      <name val="Arial"/>
      <family val="2"/>
    </font>
    <font>
      <sz val="10"/>
      <name val="Helv"/>
    </font>
    <font>
      <sz val="14"/>
      <name val="Helv"/>
    </font>
    <font>
      <sz val="14"/>
      <color indexed="12"/>
      <name val="Arial"/>
      <family val="2"/>
    </font>
    <font>
      <b/>
      <u/>
      <sz val="14"/>
      <name val="Helv"/>
    </font>
    <font>
      <b/>
      <sz val="14"/>
      <name val="Helv"/>
    </font>
    <font>
      <sz val="14"/>
      <name val="Arial"/>
      <family val="2"/>
    </font>
    <font>
      <sz val="12"/>
      <name val="Helv"/>
    </font>
    <font>
      <b/>
      <sz val="12"/>
      <name val="Arial MT"/>
    </font>
    <font>
      <sz val="14"/>
      <color indexed="12"/>
      <name val="Helv"/>
    </font>
    <font>
      <u/>
      <sz val="14"/>
      <name val="Helv"/>
    </font>
    <font>
      <b/>
      <sz val="10"/>
      <color indexed="10"/>
      <name val="Arial Narrow"/>
      <family val="2"/>
    </font>
    <font>
      <b/>
      <u/>
      <sz val="14"/>
      <name val="Arial"/>
      <family val="2"/>
    </font>
    <font>
      <u/>
      <sz val="12"/>
      <name val="Arial MT"/>
    </font>
    <font>
      <u/>
      <sz val="12"/>
      <name val="Times New Roman"/>
      <family val="1"/>
    </font>
    <font>
      <sz val="14"/>
      <color indexed="23"/>
      <name val="Helv"/>
    </font>
    <font>
      <sz val="12"/>
      <color indexed="10"/>
      <name val="Arial MT"/>
    </font>
    <font>
      <b/>
      <strike/>
      <u/>
      <sz val="10"/>
      <color indexed="10"/>
      <name val="Arial"/>
      <family val="2"/>
    </font>
    <font>
      <strike/>
      <u/>
      <sz val="10"/>
      <color indexed="10"/>
      <name val="Arial"/>
      <family val="2"/>
    </font>
    <font>
      <sz val="8"/>
      <name val="Arial"/>
      <family val="2"/>
    </font>
    <font>
      <strike/>
      <sz val="14"/>
      <color indexed="10"/>
      <name val="Helv"/>
    </font>
    <font>
      <b/>
      <i/>
      <u/>
      <sz val="12"/>
      <name val="Arial"/>
      <family val="2"/>
    </font>
    <font>
      <b/>
      <sz val="10"/>
      <name val="Times New Roman"/>
      <family val="1"/>
    </font>
    <font>
      <b/>
      <sz val="12"/>
      <name val="Times New Roman"/>
      <family val="1"/>
    </font>
    <font>
      <strike/>
      <sz val="12"/>
      <name val="Arial"/>
      <family val="2"/>
    </font>
    <font>
      <b/>
      <sz val="10"/>
      <name val="Arial"/>
      <family val="2"/>
    </font>
    <font>
      <b/>
      <u val="singleAccounting"/>
      <sz val="10"/>
      <name val="Arial"/>
      <family val="2"/>
    </font>
    <font>
      <b/>
      <strike/>
      <sz val="10"/>
      <name val="Arial"/>
      <family val="2"/>
    </font>
    <font>
      <b/>
      <sz val="10"/>
      <name val="Arial Narrow"/>
      <family val="2"/>
    </font>
    <font>
      <b/>
      <strike/>
      <u/>
      <sz val="10"/>
      <name val="Arial"/>
      <family val="2"/>
    </font>
    <font>
      <sz val="14"/>
      <color indexed="8"/>
      <name val="Helv"/>
    </font>
    <font>
      <sz val="10"/>
      <color indexed="8"/>
      <name val="Helv"/>
    </font>
    <font>
      <sz val="10"/>
      <name val="Arial MT"/>
    </font>
    <font>
      <sz val="12"/>
      <name val="Arial Black"/>
      <family val="2"/>
    </font>
    <font>
      <sz val="10"/>
      <color indexed="12"/>
      <name val="Courier"/>
      <family val="3"/>
    </font>
    <font>
      <i/>
      <sz val="12"/>
      <name val="Arial Condensed Bold"/>
    </font>
    <font>
      <b/>
      <i/>
      <sz val="12"/>
      <name val="Arial MT"/>
    </font>
    <font>
      <b/>
      <u/>
      <sz val="12"/>
      <name val="Arial MT"/>
    </font>
    <font>
      <sz val="12"/>
      <name val="Arial"/>
      <family val="2"/>
    </font>
    <font>
      <b/>
      <strike/>
      <u/>
      <sz val="12"/>
      <color indexed="10"/>
      <name val="Arial"/>
      <family val="2"/>
    </font>
    <font>
      <sz val="12"/>
      <name val="Arial"/>
      <family val="2"/>
    </font>
    <font>
      <sz val="10"/>
      <name val="Tahoma"/>
      <family val="2"/>
    </font>
    <font>
      <sz val="8"/>
      <name val="Tahoma"/>
      <family val="2"/>
    </font>
    <font>
      <b/>
      <i/>
      <u/>
      <sz val="10"/>
      <name val="Arial"/>
      <family val="2"/>
    </font>
    <font>
      <b/>
      <sz val="12"/>
      <name val="Arial Condensed Bold"/>
    </font>
    <font>
      <sz val="10"/>
      <color indexed="17"/>
      <name val="Arial"/>
      <family val="2"/>
    </font>
    <font>
      <b/>
      <sz val="10"/>
      <color indexed="17"/>
      <name val="Arial"/>
      <family val="2"/>
    </font>
    <font>
      <i/>
      <sz val="14"/>
      <name val="Arial"/>
      <family val="2"/>
    </font>
    <font>
      <sz val="12"/>
      <color indexed="8"/>
      <name val="Helv"/>
    </font>
    <font>
      <sz val="12"/>
      <color indexed="8"/>
      <name val="Arial"/>
      <family val="2"/>
    </font>
    <font>
      <i/>
      <sz val="14"/>
      <name val="Helv"/>
    </font>
    <font>
      <sz val="10"/>
      <name val="Arial"/>
      <family val="2"/>
    </font>
    <font>
      <sz val="10"/>
      <name val="Arial"/>
      <family val="2"/>
    </font>
    <font>
      <sz val="12"/>
      <name val="Arial Narrow"/>
      <family val="2"/>
    </font>
    <font>
      <b/>
      <sz val="12"/>
      <name val="Arial Narrow"/>
      <family val="2"/>
    </font>
    <font>
      <b/>
      <u/>
      <sz val="12"/>
      <name val="Arial Narrow"/>
      <family val="2"/>
    </font>
    <font>
      <sz val="11"/>
      <color indexed="12"/>
      <name val="Arial"/>
      <family val="2"/>
    </font>
    <font>
      <u val="singleAccounting"/>
      <sz val="11"/>
      <name val="Arial"/>
      <family val="2"/>
    </font>
    <font>
      <b/>
      <u/>
      <sz val="11"/>
      <name val="Arial"/>
      <family val="2"/>
    </font>
    <font>
      <sz val="10"/>
      <name val="Arial"/>
      <family val="2"/>
    </font>
    <font>
      <sz val="10"/>
      <name val="Arial"/>
      <family val="2"/>
    </font>
    <font>
      <b/>
      <i/>
      <sz val="12"/>
      <name val="Times New Roman"/>
      <family val="1"/>
    </font>
    <font>
      <strike/>
      <sz val="12"/>
      <color indexed="10"/>
      <name val="Arial"/>
      <family val="2"/>
    </font>
    <font>
      <sz val="10"/>
      <color indexed="40"/>
      <name val="Arial"/>
      <family val="2"/>
    </font>
    <font>
      <sz val="10"/>
      <name val="Arial"/>
      <family val="2"/>
    </font>
    <font>
      <sz val="10"/>
      <color indexed="40"/>
      <name val="Times New Roman"/>
      <family val="1"/>
    </font>
    <font>
      <sz val="13"/>
      <name val="Times New Roman"/>
      <family val="1"/>
    </font>
    <font>
      <sz val="10"/>
      <color indexed="12"/>
      <name val="Times New Roman"/>
      <family val="1"/>
    </font>
    <font>
      <sz val="10"/>
      <name val="Arial"/>
      <family val="2"/>
    </font>
    <font>
      <b/>
      <i/>
      <sz val="12"/>
      <name val="Cambria"/>
      <family val="1"/>
    </font>
    <font>
      <sz val="10"/>
      <name val="Cambria"/>
      <family val="1"/>
    </font>
    <font>
      <sz val="12"/>
      <name val="Cambria"/>
      <family val="1"/>
    </font>
    <font>
      <b/>
      <sz val="12"/>
      <name val="Cambria"/>
      <family val="1"/>
    </font>
    <font>
      <b/>
      <sz val="10"/>
      <name val="Cambria"/>
      <family val="1"/>
    </font>
    <font>
      <b/>
      <u/>
      <sz val="12"/>
      <name val="Cambria"/>
      <family val="1"/>
    </font>
    <font>
      <sz val="12"/>
      <color indexed="12"/>
      <name val="Cambria"/>
      <family val="1"/>
    </font>
    <font>
      <i/>
      <sz val="10"/>
      <name val="Cambria"/>
      <family val="1"/>
    </font>
    <font>
      <sz val="10"/>
      <name val="Arial"/>
      <family val="2"/>
    </font>
    <font>
      <sz val="9"/>
      <color indexed="10"/>
      <name val="Arial"/>
      <family val="2"/>
    </font>
    <font>
      <i/>
      <sz val="9"/>
      <name val="Arial"/>
      <family val="2"/>
    </font>
    <font>
      <sz val="11"/>
      <color theme="1"/>
      <name val="Calibri"/>
      <family val="2"/>
      <scheme val="minor"/>
    </font>
    <font>
      <sz val="11"/>
      <color theme="1"/>
      <name val="Calibri"/>
      <family val="2"/>
    </font>
    <font>
      <i/>
      <sz val="12"/>
      <color rgb="FFFF0000"/>
      <name val="Arial"/>
      <family val="2"/>
    </font>
    <font>
      <b/>
      <sz val="10"/>
      <color rgb="FFFF0000"/>
      <name val="Arial"/>
      <family val="2"/>
    </font>
    <font>
      <sz val="10"/>
      <color rgb="FF0000FF"/>
      <name val="Arial"/>
      <family val="2"/>
    </font>
    <font>
      <sz val="11"/>
      <color theme="1"/>
      <name val="Arial"/>
      <family val="2"/>
    </font>
    <font>
      <sz val="10"/>
      <color rgb="FFFF0000"/>
      <name val="Arial"/>
      <family val="2"/>
    </font>
    <font>
      <b/>
      <sz val="10"/>
      <color rgb="FF0000FF"/>
      <name val="Arial"/>
      <family val="2"/>
    </font>
    <font>
      <sz val="12"/>
      <color rgb="FFFF0000"/>
      <name val="Arial"/>
      <family val="2"/>
    </font>
  </fonts>
  <fills count="3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27"/>
        <bgColor indexed="64"/>
      </patternFill>
    </fill>
    <fill>
      <patternFill patternType="solid">
        <fgColor indexed="9"/>
        <bgColor indexed="64"/>
      </patternFill>
    </fill>
    <fill>
      <patternFill patternType="solid">
        <fgColor indexed="23"/>
        <bgColor indexed="64"/>
      </patternFill>
    </fill>
    <fill>
      <patternFill patternType="solid">
        <fgColor indexed="55"/>
        <bgColor indexed="64"/>
      </patternFill>
    </fill>
    <fill>
      <patternFill patternType="solid">
        <fgColor rgb="FFCCFFFF"/>
        <bgColor indexed="64"/>
      </patternFill>
    </fill>
    <fill>
      <patternFill patternType="solid">
        <fgColor theme="5"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theme="0" tint="-0.24991607409894101"/>
        <bgColor indexed="64"/>
      </patternFill>
    </fill>
    <fill>
      <patternFill patternType="darkUp">
        <bgColor theme="0" tint="-0.14990691854609822"/>
      </patternFill>
    </fill>
  </fills>
  <borders count="47">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medium">
        <color indexed="8"/>
      </top>
      <bottom/>
      <diagonal/>
    </border>
    <border>
      <left/>
      <right/>
      <top/>
      <bottom style="double">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right/>
      <top style="thin">
        <color indexed="8"/>
      </top>
      <bottom/>
      <diagonal/>
    </border>
    <border>
      <left/>
      <right/>
      <top style="double">
        <color indexed="8"/>
      </top>
      <bottom/>
      <diagonal/>
    </border>
    <border>
      <left/>
      <right/>
      <top style="thin">
        <color indexed="8"/>
      </top>
      <bottom style="double">
        <color indexed="8"/>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49">
    <xf numFmtId="0" fontId="0" fillId="0" borderId="0"/>
    <xf numFmtId="0" fontId="35" fillId="2" borderId="0" applyNumberFormat="0" applyBorder="0" applyAlignment="0" applyProtection="0"/>
    <xf numFmtId="0" fontId="35" fillId="2" borderId="0" applyNumberFormat="0" applyBorder="0" applyAlignment="0" applyProtection="0"/>
    <xf numFmtId="0" fontId="35" fillId="3" borderId="0" applyNumberFormat="0" applyBorder="0" applyAlignment="0" applyProtection="0"/>
    <xf numFmtId="0" fontId="35" fillId="3"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7" borderId="0" applyNumberFormat="0" applyBorder="0" applyAlignment="0" applyProtection="0"/>
    <xf numFmtId="0" fontId="35" fillId="7"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9" borderId="0" applyNumberFormat="0" applyBorder="0" applyAlignment="0" applyProtection="0"/>
    <xf numFmtId="0" fontId="35" fillId="9"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8" borderId="0" applyNumberFormat="0" applyBorder="0" applyAlignment="0" applyProtection="0"/>
    <xf numFmtId="0" fontId="35" fillId="8"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6" fillId="12" borderId="0" applyNumberFormat="0" applyBorder="0" applyAlignment="0" applyProtection="0"/>
    <xf numFmtId="0" fontId="36" fillId="12" borderId="0" applyNumberFormat="0" applyBorder="0" applyAlignment="0" applyProtection="0"/>
    <xf numFmtId="0" fontId="36" fillId="9"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8" borderId="0" applyNumberFormat="0" applyBorder="0" applyAlignment="0" applyProtection="0"/>
    <xf numFmtId="0" fontId="36" fillId="13"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4" borderId="0" applyNumberFormat="0" applyBorder="0" applyAlignment="0" applyProtection="0"/>
    <xf numFmtId="0" fontId="36" fillId="19" borderId="0" applyNumberFormat="0" applyBorder="0" applyAlignment="0" applyProtection="0"/>
    <xf numFmtId="0" fontId="36" fillId="19" borderId="0" applyNumberFormat="0" applyBorder="0" applyAlignment="0" applyProtection="0"/>
    <xf numFmtId="0" fontId="37" fillId="3" borderId="0" applyNumberFormat="0" applyBorder="0" applyAlignment="0" applyProtection="0"/>
    <xf numFmtId="0" fontId="37" fillId="3" borderId="0" applyNumberFormat="0" applyBorder="0" applyAlignment="0" applyProtection="0"/>
    <xf numFmtId="172" fontId="38" fillId="0" borderId="0" applyFill="0"/>
    <xf numFmtId="172" fontId="38" fillId="0" borderId="0">
      <alignment horizontal="center"/>
    </xf>
    <xf numFmtId="0" fontId="38" fillId="0" borderId="0" applyFill="0">
      <alignment horizontal="center"/>
    </xf>
    <xf numFmtId="172" fontId="4" fillId="0" borderId="1" applyFill="0"/>
    <xf numFmtId="0" fontId="12" fillId="0" borderId="0" applyFont="0" applyAlignment="0"/>
    <xf numFmtId="0" fontId="39" fillId="0" borderId="0" applyFill="0">
      <alignment vertical="top"/>
    </xf>
    <xf numFmtId="0" fontId="4" fillId="0" borderId="0" applyFill="0">
      <alignment horizontal="left" vertical="top"/>
    </xf>
    <xf numFmtId="172" fontId="6" fillId="0" borderId="2" applyFill="0"/>
    <xf numFmtId="0" fontId="12" fillId="0" borderId="0" applyNumberFormat="0" applyFont="0" applyAlignment="0"/>
    <xf numFmtId="0" fontId="39" fillId="0" borderId="0" applyFill="0">
      <alignment wrapText="1"/>
    </xf>
    <xf numFmtId="0" fontId="4" fillId="0" borderId="0" applyFill="0">
      <alignment horizontal="left" vertical="top" wrapText="1"/>
    </xf>
    <xf numFmtId="172" fontId="40" fillId="0" borderId="0" applyFill="0"/>
    <xf numFmtId="0" fontId="41" fillId="0" borderId="0" applyNumberFormat="0" applyFont="0" applyAlignment="0">
      <alignment horizontal="center"/>
    </xf>
    <xf numFmtId="0" fontId="42" fillId="0" borderId="0" applyFill="0">
      <alignment vertical="top" wrapText="1"/>
    </xf>
    <xf numFmtId="0" fontId="6" fillId="0" borderId="0" applyFill="0">
      <alignment horizontal="left" vertical="top" wrapText="1"/>
    </xf>
    <xf numFmtId="172" fontId="12" fillId="0" borderId="0" applyFill="0"/>
    <xf numFmtId="0" fontId="41" fillId="0" borderId="0" applyNumberFormat="0" applyFont="0" applyAlignment="0">
      <alignment horizontal="center"/>
    </xf>
    <xf numFmtId="0" fontId="28" fillId="0" borderId="0" applyFill="0">
      <alignment vertical="center" wrapText="1"/>
    </xf>
    <xf numFmtId="0" fontId="5" fillId="0" borderId="0">
      <alignment horizontal="left" vertical="center" wrapText="1"/>
    </xf>
    <xf numFmtId="172" fontId="24" fillId="0" borderId="0" applyFill="0"/>
    <xf numFmtId="0" fontId="41" fillId="0" borderId="0" applyNumberFormat="0" applyFont="0" applyAlignment="0">
      <alignment horizontal="center"/>
    </xf>
    <xf numFmtId="0" fontId="16" fillId="0" borderId="0" applyFill="0">
      <alignment horizontal="center" vertical="center" wrapText="1"/>
    </xf>
    <xf numFmtId="0" fontId="12" fillId="0" borderId="0" applyFill="0">
      <alignment horizontal="center" vertical="center" wrapText="1"/>
    </xf>
    <xf numFmtId="172" fontId="43" fillId="0" borderId="0" applyFill="0"/>
    <xf numFmtId="0" fontId="41" fillId="0" borderId="0" applyNumberFormat="0" applyFont="0" applyAlignment="0">
      <alignment horizontal="center"/>
    </xf>
    <xf numFmtId="0" fontId="44" fillId="0" borderId="0" applyFill="0">
      <alignment horizontal="center" vertical="center" wrapText="1"/>
    </xf>
    <xf numFmtId="0" fontId="45" fillId="0" borderId="0" applyFill="0">
      <alignment horizontal="center" vertical="center" wrapText="1"/>
    </xf>
    <xf numFmtId="172" fontId="46" fillId="0" borderId="0" applyFill="0"/>
    <xf numFmtId="0" fontId="41" fillId="0" borderId="0" applyNumberFormat="0" applyFont="0" applyAlignment="0">
      <alignment horizontal="center"/>
    </xf>
    <xf numFmtId="0" fontId="47" fillId="0" borderId="0">
      <alignment horizontal="center" wrapText="1"/>
    </xf>
    <xf numFmtId="0" fontId="43" fillId="0" borderId="0" applyFill="0">
      <alignment horizontal="center" wrapText="1"/>
    </xf>
    <xf numFmtId="0" fontId="48" fillId="20" borderId="3" applyNumberFormat="0" applyAlignment="0" applyProtection="0"/>
    <xf numFmtId="0" fontId="48" fillId="20" borderId="3" applyNumberFormat="0" applyAlignment="0" applyProtection="0"/>
    <xf numFmtId="0" fontId="49" fillId="21" borderId="4" applyNumberFormat="0" applyAlignment="0" applyProtection="0"/>
    <xf numFmtId="0" fontId="49" fillId="21" borderId="4" applyNumberFormat="0" applyAlignment="0" applyProtection="0"/>
    <xf numFmtId="43" fontId="2" fillId="0" borderId="0" applyFont="0" applyFill="0" applyBorder="0" applyAlignment="0" applyProtection="0"/>
    <xf numFmtId="43" fontId="149"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8"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46" fillId="0" borderId="0" applyFont="0" applyFill="0" applyBorder="0" applyAlignment="0" applyProtection="0"/>
    <xf numFmtId="43" fontId="128" fillId="0" borderId="0" applyFont="0" applyFill="0" applyBorder="0" applyAlignment="0" applyProtection="0"/>
    <xf numFmtId="43" fontId="12" fillId="0" borderId="0" applyFont="0" applyFill="0" applyBorder="0" applyAlignment="0" applyProtection="0"/>
    <xf numFmtId="43" fontId="149" fillId="0" borderId="0" applyFont="0" applyFill="0" applyBorder="0" applyAlignment="0" applyProtection="0"/>
    <xf numFmtId="43" fontId="12" fillId="0" borderId="0" applyFont="0" applyFill="0" applyBorder="0" applyAlignment="0" applyProtection="0"/>
    <xf numFmtId="43" fontId="149" fillId="0" borderId="0" applyFont="0" applyFill="0" applyBorder="0" applyAlignment="0" applyProtection="0"/>
    <xf numFmtId="43" fontId="12" fillId="0" borderId="0" applyFont="0" applyFill="0" applyBorder="0" applyAlignment="0" applyProtection="0"/>
    <xf numFmtId="43" fontId="133" fillId="0" borderId="0" applyFont="0" applyFill="0" applyBorder="0" applyAlignment="0" applyProtection="0"/>
    <xf numFmtId="43" fontId="149" fillId="0" borderId="0" applyFont="0" applyFill="0" applyBorder="0" applyAlignment="0" applyProtection="0"/>
    <xf numFmtId="43" fontId="137" fillId="0" borderId="0" applyFont="0" applyFill="0" applyBorder="0" applyAlignment="0" applyProtection="0"/>
    <xf numFmtId="43" fontId="146" fillId="0" borderId="0" applyFont="0" applyFill="0" applyBorder="0" applyAlignment="0" applyProtection="0"/>
    <xf numFmtId="43" fontId="149" fillId="0" borderId="0" applyFont="0" applyFill="0" applyBorder="0" applyAlignment="0" applyProtection="0"/>
    <xf numFmtId="43" fontId="2" fillId="0" borderId="0" applyFont="0" applyFill="0" applyBorder="0" applyAlignment="0" applyProtection="0"/>
    <xf numFmtId="43" fontId="129" fillId="0" borderId="0" applyFont="0" applyFill="0" applyBorder="0" applyAlignment="0" applyProtection="0"/>
    <xf numFmtId="3" fontId="12"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8"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46" fillId="0" borderId="0" applyFont="0" applyFill="0" applyBorder="0" applyAlignment="0" applyProtection="0"/>
    <xf numFmtId="44" fontId="128" fillId="0" borderId="0" applyFont="0" applyFill="0" applyBorder="0" applyAlignment="0" applyProtection="0"/>
    <xf numFmtId="44" fontId="12" fillId="0" borderId="0" applyFont="0" applyFill="0" applyBorder="0" applyAlignment="0" applyProtection="0"/>
    <xf numFmtId="44" fontId="149" fillId="0" borderId="0" applyFont="0" applyFill="0" applyBorder="0" applyAlignment="0" applyProtection="0"/>
    <xf numFmtId="44" fontId="12" fillId="0" borderId="0" applyFont="0" applyFill="0" applyBorder="0" applyAlignment="0" applyProtection="0"/>
    <xf numFmtId="44" fontId="149" fillId="0" borderId="0" applyFont="0" applyFill="0" applyBorder="0" applyAlignment="0" applyProtection="0"/>
    <xf numFmtId="44" fontId="146" fillId="0" borderId="0" applyFont="0" applyFill="0" applyBorder="0" applyAlignment="0" applyProtection="0"/>
    <xf numFmtId="5" fontId="12" fillId="0" borderId="0" applyFont="0" applyFill="0" applyBorder="0" applyAlignment="0" applyProtection="0"/>
    <xf numFmtId="14" fontId="12" fillId="0" borderId="0" applyFon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2" fontId="12" fillId="0" borderId="0" applyFont="0" applyFill="0" applyBorder="0" applyAlignment="0" applyProtection="0"/>
    <xf numFmtId="0" fontId="51" fillId="4" borderId="0" applyNumberFormat="0" applyBorder="0" applyAlignment="0" applyProtection="0"/>
    <xf numFmtId="0" fontId="51" fillId="4" borderId="0" applyNumberFormat="0" applyBorder="0" applyAlignment="0" applyProtection="0"/>
    <xf numFmtId="0" fontId="31" fillId="0" borderId="0" applyFont="0" applyFill="0" applyBorder="0" applyAlignment="0" applyProtection="0"/>
    <xf numFmtId="0" fontId="31"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52" fillId="0" borderId="5" applyNumberFormat="0" applyFill="0" applyAlignment="0" applyProtection="0"/>
    <xf numFmtId="0" fontId="52" fillId="0" borderId="5"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0" borderId="6"/>
    <xf numFmtId="0" fontId="54" fillId="0" borderId="0"/>
    <xf numFmtId="0" fontId="55" fillId="7" borderId="3" applyNumberFormat="0" applyAlignment="0" applyProtection="0"/>
    <xf numFmtId="0" fontId="55" fillId="7" borderId="3" applyNumberFormat="0" applyAlignment="0" applyProtection="0"/>
    <xf numFmtId="0" fontId="56" fillId="0" borderId="7" applyNumberFormat="0" applyFill="0" applyAlignment="0" applyProtection="0"/>
    <xf numFmtId="0" fontId="56" fillId="0" borderId="7" applyNumberFormat="0" applyFill="0" applyAlignment="0" applyProtection="0"/>
    <xf numFmtId="0" fontId="57" fillId="22" borderId="0" applyNumberFormat="0" applyBorder="0" applyAlignment="0" applyProtection="0"/>
    <xf numFmtId="0" fontId="57" fillId="22" borderId="0" applyNumberFormat="0" applyBorder="0" applyAlignment="0" applyProtection="0"/>
    <xf numFmtId="3" fontId="128" fillId="0" borderId="0"/>
    <xf numFmtId="3" fontId="12" fillId="0" borderId="0"/>
    <xf numFmtId="3" fontId="12" fillId="0" borderId="0"/>
    <xf numFmtId="3" fontId="12" fillId="0" borderId="0"/>
    <xf numFmtId="0" fontId="128" fillId="0" borderId="0"/>
    <xf numFmtId="0" fontId="12" fillId="0" borderId="0"/>
    <xf numFmtId="3" fontId="12" fillId="0" borderId="0"/>
    <xf numFmtId="3" fontId="12" fillId="0" borderId="0"/>
    <xf numFmtId="3" fontId="12" fillId="0" borderId="0"/>
    <xf numFmtId="3" fontId="12" fillId="0" borderId="0"/>
    <xf numFmtId="0" fontId="149" fillId="0" borderId="0"/>
    <xf numFmtId="3" fontId="12" fillId="0" borderId="0"/>
    <xf numFmtId="3" fontId="12" fillId="0" borderId="0"/>
    <xf numFmtId="3" fontId="12" fillId="0" borderId="0"/>
    <xf numFmtId="3" fontId="12" fillId="0" borderId="0"/>
    <xf numFmtId="0"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0" fontId="12" fillId="0" borderId="0"/>
    <xf numFmtId="0" fontId="12" fillId="0" borderId="0"/>
    <xf numFmtId="0" fontId="150" fillId="0" borderId="0"/>
    <xf numFmtId="0" fontId="12" fillId="0" borderId="0"/>
    <xf numFmtId="0" fontId="12" fillId="0" borderId="0"/>
    <xf numFmtId="0" fontId="150" fillId="0" borderId="0"/>
    <xf numFmtId="0" fontId="12" fillId="0" borderId="0"/>
    <xf numFmtId="0"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3" fontId="12" fillId="0" borderId="0"/>
    <xf numFmtId="0" fontId="12" fillId="0" borderId="0"/>
    <xf numFmtId="0" fontId="12" fillId="0" borderId="0"/>
    <xf numFmtId="3" fontId="12" fillId="0" borderId="0"/>
    <xf numFmtId="0" fontId="12" fillId="0" borderId="0"/>
    <xf numFmtId="0" fontId="149" fillId="0" borderId="0"/>
    <xf numFmtId="0" fontId="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8" fillId="0" borderId="0"/>
    <xf numFmtId="0" fontId="12" fillId="0" borderId="0"/>
    <xf numFmtId="0" fontId="12" fillId="0" borderId="0"/>
    <xf numFmtId="0" fontId="12" fillId="0" borderId="0"/>
    <xf numFmtId="0" fontId="146" fillId="0" borderId="0"/>
    <xf numFmtId="0" fontId="12" fillId="0" borderId="0"/>
    <xf numFmtId="0" fontId="12" fillId="0" borderId="0"/>
    <xf numFmtId="0" fontId="12" fillId="0" borderId="0"/>
    <xf numFmtId="3" fontId="12" fillId="0" borderId="0"/>
    <xf numFmtId="3" fontId="12" fillId="0" borderId="0"/>
    <xf numFmtId="0" fontId="128" fillId="0" borderId="0"/>
    <xf numFmtId="0" fontId="12" fillId="0" borderId="0"/>
    <xf numFmtId="0" fontId="12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49" fillId="0" borderId="0"/>
    <xf numFmtId="0" fontId="128" fillId="0" borderId="0"/>
    <xf numFmtId="0" fontId="12" fillId="0" borderId="0"/>
    <xf numFmtId="0" fontId="149" fillId="0" borderId="0"/>
    <xf numFmtId="0" fontId="128" fillId="0" borderId="0"/>
    <xf numFmtId="0" fontId="12" fillId="0" borderId="0"/>
    <xf numFmtId="0" fontId="149" fillId="0" borderId="0"/>
    <xf numFmtId="0" fontId="128" fillId="0" borderId="0"/>
    <xf numFmtId="0" fontId="12" fillId="0" borderId="0"/>
    <xf numFmtId="0" fontId="149" fillId="0" borderId="0"/>
    <xf numFmtId="0" fontId="3" fillId="0" borderId="0" applyProtection="0"/>
    <xf numFmtId="0" fontId="2" fillId="0" borderId="0"/>
    <xf numFmtId="0" fontId="12" fillId="0" borderId="0"/>
    <xf numFmtId="0" fontId="12" fillId="0" borderId="0"/>
    <xf numFmtId="0" fontId="12" fillId="0" borderId="0"/>
    <xf numFmtId="172" fontId="3" fillId="0" borderId="0" applyProtection="0"/>
    <xf numFmtId="0" fontId="2" fillId="0" borderId="0"/>
    <xf numFmtId="172" fontId="3" fillId="0" borderId="0" applyProtection="0"/>
    <xf numFmtId="172" fontId="3" fillId="0" borderId="0" applyProtection="0"/>
    <xf numFmtId="0" fontId="70" fillId="0" borderId="0"/>
    <xf numFmtId="0" fontId="12" fillId="0" borderId="0"/>
    <xf numFmtId="0" fontId="3" fillId="0" borderId="0"/>
    <xf numFmtId="0" fontId="12" fillId="0" borderId="0"/>
    <xf numFmtId="0" fontId="2" fillId="0" borderId="0"/>
    <xf numFmtId="0" fontId="129" fillId="0" borderId="0"/>
    <xf numFmtId="0" fontId="110" fillId="0" borderId="0"/>
    <xf numFmtId="0" fontId="3" fillId="23" borderId="8" applyNumberFormat="0" applyFont="0" applyAlignment="0" applyProtection="0"/>
    <xf numFmtId="0" fontId="3" fillId="23" borderId="8" applyNumberFormat="0" applyFont="0" applyAlignment="0" applyProtection="0"/>
    <xf numFmtId="0" fontId="58" fillId="20" borderId="9" applyNumberFormat="0" applyAlignment="0" applyProtection="0"/>
    <xf numFmtId="0" fontId="58" fillId="20" borderId="9" applyNumberFormat="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8"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46" fillId="0" borderId="0" applyFont="0" applyFill="0" applyBorder="0" applyAlignment="0" applyProtection="0"/>
    <xf numFmtId="9" fontId="12" fillId="0" borderId="0" applyFont="0" applyFill="0" applyBorder="0" applyAlignment="0" applyProtection="0"/>
    <xf numFmtId="9" fontId="128" fillId="0" borderId="0" applyFont="0" applyFill="0" applyBorder="0" applyAlignment="0" applyProtection="0"/>
    <xf numFmtId="9" fontId="12" fillId="0" borderId="0" applyFont="0" applyFill="0" applyBorder="0" applyAlignment="0" applyProtection="0"/>
    <xf numFmtId="9" fontId="149" fillId="0" borderId="0" applyFont="0" applyFill="0" applyBorder="0" applyAlignment="0" applyProtection="0"/>
    <xf numFmtId="9" fontId="12" fillId="0" borderId="0" applyFont="0" applyFill="0" applyBorder="0" applyAlignment="0" applyProtection="0"/>
    <xf numFmtId="9" fontId="149" fillId="0" borderId="0" applyFont="0" applyFill="0" applyBorder="0" applyAlignment="0" applyProtection="0"/>
    <xf numFmtId="9" fontId="146" fillId="0" borderId="0" applyFont="0" applyFill="0" applyBorder="0" applyAlignment="0" applyProtection="0"/>
    <xf numFmtId="0" fontId="33" fillId="0" borderId="0" applyNumberFormat="0" applyFont="0" applyFill="0" applyBorder="0" applyAlignment="0" applyProtection="0">
      <alignment horizontal="left"/>
    </xf>
    <xf numFmtId="15" fontId="33" fillId="0" borderId="0" applyFont="0" applyFill="0" applyBorder="0" applyAlignment="0" applyProtection="0"/>
    <xf numFmtId="4" fontId="33" fillId="0" borderId="0" applyFont="0" applyFill="0" applyBorder="0" applyAlignment="0" applyProtection="0"/>
    <xf numFmtId="3" fontId="12" fillId="0" borderId="0">
      <alignment horizontal="left" vertical="top"/>
    </xf>
    <xf numFmtId="0" fontId="34" fillId="0" borderId="6">
      <alignment horizontal="center"/>
    </xf>
    <xf numFmtId="3" fontId="33" fillId="0" borderId="0" applyFont="0" applyFill="0" applyBorder="0" applyAlignment="0" applyProtection="0"/>
    <xf numFmtId="0" fontId="33" fillId="24" borderId="0" applyNumberFormat="0" applyFont="0" applyBorder="0" applyAlignment="0" applyProtection="0"/>
    <xf numFmtId="3" fontId="12" fillId="0" borderId="0">
      <alignment horizontal="right" vertical="top"/>
    </xf>
    <xf numFmtId="41" fontId="5" fillId="25" borderId="10" applyFill="0"/>
    <xf numFmtId="0" fontId="59" fillId="0" borderId="0">
      <alignment horizontal="left" indent="7"/>
    </xf>
    <xf numFmtId="41" fontId="5" fillId="0" borderId="10" applyFill="0">
      <alignment horizontal="left" indent="2"/>
    </xf>
    <xf numFmtId="172" fontId="25" fillId="0" borderId="11" applyFill="0">
      <alignment horizontal="right"/>
    </xf>
    <xf numFmtId="0" fontId="9" fillId="0" borderId="12" applyNumberFormat="0" applyFont="0" applyBorder="0">
      <alignment horizontal="right"/>
    </xf>
    <xf numFmtId="0" fontId="60" fillId="0" borderId="0" applyFill="0"/>
    <xf numFmtId="0" fontId="6" fillId="0" borderId="0" applyFill="0"/>
    <xf numFmtId="4" fontId="25" fillId="0" borderId="11" applyFill="0"/>
    <xf numFmtId="0" fontId="12" fillId="0" borderId="0" applyNumberFormat="0" applyFont="0" applyBorder="0" applyAlignment="0"/>
    <xf numFmtId="0" fontId="42" fillId="0" borderId="0" applyFill="0">
      <alignment horizontal="left" indent="1"/>
    </xf>
    <xf numFmtId="0" fontId="61" fillId="0" borderId="0" applyFill="0">
      <alignment horizontal="left" indent="1"/>
    </xf>
    <xf numFmtId="4" fontId="24" fillId="0" borderId="0" applyFill="0"/>
    <xf numFmtId="0" fontId="12" fillId="0" borderId="0" applyNumberFormat="0" applyFont="0" applyFill="0" applyBorder="0" applyAlignment="0"/>
    <xf numFmtId="0" fontId="42" fillId="0" borderId="0" applyFill="0">
      <alignment horizontal="left" indent="2"/>
    </xf>
    <xf numFmtId="0" fontId="6" fillId="0" borderId="0" applyFill="0">
      <alignment horizontal="left" indent="2"/>
    </xf>
    <xf numFmtId="4" fontId="24" fillId="0" borderId="0" applyFill="0"/>
    <xf numFmtId="0" fontId="12" fillId="0" borderId="0" applyNumberFormat="0" applyFont="0" applyBorder="0" applyAlignment="0"/>
    <xf numFmtId="0" fontId="62" fillId="0" borderId="0">
      <alignment horizontal="left" indent="3"/>
    </xf>
    <xf numFmtId="0" fontId="63" fillId="0" borderId="0" applyFill="0">
      <alignment horizontal="left" indent="3"/>
    </xf>
    <xf numFmtId="4" fontId="24" fillId="0" borderId="0" applyFill="0"/>
    <xf numFmtId="0" fontId="12" fillId="0" borderId="0" applyNumberFormat="0" applyFont="0" applyBorder="0" applyAlignment="0"/>
    <xf numFmtId="0" fontId="16" fillId="0" borderId="0">
      <alignment horizontal="left" indent="4"/>
    </xf>
    <xf numFmtId="0" fontId="12" fillId="0" borderId="0" applyFill="0">
      <alignment horizontal="left" indent="4"/>
    </xf>
    <xf numFmtId="4" fontId="43" fillId="0" borderId="0" applyFill="0"/>
    <xf numFmtId="0" fontId="12" fillId="0" borderId="0" applyNumberFormat="0" applyFont="0" applyBorder="0" applyAlignment="0"/>
    <xf numFmtId="0" fontId="44" fillId="0" borderId="0">
      <alignment horizontal="left" indent="5"/>
    </xf>
    <xf numFmtId="0" fontId="45" fillId="0" borderId="0" applyFill="0">
      <alignment horizontal="left" indent="5"/>
    </xf>
    <xf numFmtId="4" fontId="46" fillId="0" borderId="0" applyFill="0"/>
    <xf numFmtId="0" fontId="12" fillId="0" borderId="0" applyNumberFormat="0" applyFont="0" applyFill="0" applyBorder="0" applyAlignment="0"/>
    <xf numFmtId="0" fontId="47" fillId="0" borderId="0" applyFill="0">
      <alignment horizontal="left" indent="6"/>
    </xf>
    <xf numFmtId="0" fontId="43" fillId="0" borderId="0" applyFill="0">
      <alignment horizontal="left" indent="6"/>
    </xf>
    <xf numFmtId="0" fontId="64" fillId="0" borderId="0" applyNumberFormat="0" applyFill="0" applyBorder="0" applyAlignment="0" applyProtection="0"/>
    <xf numFmtId="0" fontId="64" fillId="0" borderId="0" applyNumberForma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2" fillId="0" borderId="0"/>
    <xf numFmtId="43" fontId="2"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cellStyleXfs>
  <cellXfs count="1227">
    <xf numFmtId="0" fontId="0" fillId="0" borderId="0" xfId="0"/>
    <xf numFmtId="0" fontId="0" fillId="0" borderId="0" xfId="0" applyAlignment="1">
      <alignment horizontal="center"/>
    </xf>
    <xf numFmtId="3" fontId="5" fillId="0" borderId="0" xfId="0" applyNumberFormat="1" applyFont="1" applyAlignment="1">
      <alignment horizontal="center"/>
    </xf>
    <xf numFmtId="0" fontId="12" fillId="0" borderId="0" xfId="0" applyFont="1"/>
    <xf numFmtId="0" fontId="9" fillId="0" borderId="0" xfId="253" applyFont="1" applyAlignment="1">
      <alignment horizontal="center"/>
    </xf>
    <xf numFmtId="0" fontId="15" fillId="0" borderId="0" xfId="253" applyFont="1"/>
    <xf numFmtId="0" fontId="4" fillId="0" borderId="0" xfId="0" applyFont="1"/>
    <xf numFmtId="0" fontId="12" fillId="0" borderId="0" xfId="253" applyFont="1"/>
    <xf numFmtId="0" fontId="15" fillId="0" borderId="0" xfId="253" applyFont="1" applyAlignment="1">
      <alignment horizontal="left"/>
    </xf>
    <xf numFmtId="3" fontId="12" fillId="0" borderId="0" xfId="0" applyNumberFormat="1" applyFont="1"/>
    <xf numFmtId="0" fontId="5" fillId="0" borderId="0" xfId="253" applyFont="1" applyAlignment="1">
      <alignment horizontal="right"/>
    </xf>
    <xf numFmtId="40" fontId="12" fillId="0" borderId="0" xfId="0" applyNumberFormat="1" applyFont="1"/>
    <xf numFmtId="0" fontId="5" fillId="0" borderId="0" xfId="253" applyFont="1"/>
    <xf numFmtId="0" fontId="9" fillId="0" borderId="0" xfId="253" applyFont="1" applyAlignment="1">
      <alignment horizontal="left"/>
    </xf>
    <xf numFmtId="0" fontId="12" fillId="0" borderId="0" xfId="253" applyFont="1" applyAlignment="1">
      <alignment horizontal="left"/>
    </xf>
    <xf numFmtId="0" fontId="6" fillId="0" borderId="0" xfId="253" applyFont="1" applyAlignment="1">
      <alignment horizontal="center"/>
    </xf>
    <xf numFmtId="0" fontId="26" fillId="0" borderId="0" xfId="0" applyFont="1"/>
    <xf numFmtId="0" fontId="5" fillId="0" borderId="0" xfId="0" applyFont="1" applyAlignment="1">
      <alignment horizontal="center"/>
    </xf>
    <xf numFmtId="3" fontId="19" fillId="0" borderId="0" xfId="0" applyNumberFormat="1" applyFont="1"/>
    <xf numFmtId="41" fontId="27" fillId="0" borderId="0" xfId="253" applyNumberFormat="1" applyFont="1"/>
    <xf numFmtId="0" fontId="28" fillId="0" borderId="0" xfId="253" applyFont="1" applyAlignment="1">
      <alignment horizontal="left"/>
    </xf>
    <xf numFmtId="0" fontId="26" fillId="0" borderId="0" xfId="253" applyFont="1"/>
    <xf numFmtId="41" fontId="26" fillId="0" borderId="0" xfId="253" applyNumberFormat="1" applyFont="1"/>
    <xf numFmtId="41" fontId="26" fillId="0" borderId="0" xfId="253" applyNumberFormat="1" applyFont="1" applyAlignment="1">
      <alignment vertical="top"/>
    </xf>
    <xf numFmtId="181" fontId="26" fillId="0" borderId="0" xfId="253" applyNumberFormat="1" applyFont="1"/>
    <xf numFmtId="0" fontId="26" fillId="0" borderId="0" xfId="253" applyFont="1" applyAlignment="1">
      <alignment horizontal="left"/>
    </xf>
    <xf numFmtId="0" fontId="29" fillId="0" borderId="0" xfId="253" applyFont="1"/>
    <xf numFmtId="0" fontId="26" fillId="0" borderId="0" xfId="253" applyFont="1" applyAlignment="1">
      <alignment horizontal="center"/>
    </xf>
    <xf numFmtId="0" fontId="10" fillId="0" borderId="0" xfId="253" applyFont="1" applyAlignment="1">
      <alignment horizontal="center"/>
    </xf>
    <xf numFmtId="173" fontId="26" fillId="0" borderId="0" xfId="253" applyNumberFormat="1" applyFont="1"/>
    <xf numFmtId="173" fontId="26" fillId="0" borderId="0" xfId="253" applyNumberFormat="1" applyFont="1" applyAlignment="1">
      <alignment vertical="top"/>
    </xf>
    <xf numFmtId="41" fontId="26" fillId="0" borderId="13" xfId="253" applyNumberFormat="1" applyFont="1" applyBorder="1"/>
    <xf numFmtId="173" fontId="6" fillId="0" borderId="0" xfId="86" applyNumberFormat="1" applyFont="1" applyFill="1" applyAlignment="1">
      <alignment horizontal="center"/>
    </xf>
    <xf numFmtId="0" fontId="5" fillId="0" borderId="0" xfId="253" applyFont="1" applyAlignment="1">
      <alignment horizontal="center"/>
    </xf>
    <xf numFmtId="0" fontId="30" fillId="0" borderId="0" xfId="253" applyFont="1"/>
    <xf numFmtId="41" fontId="5" fillId="0" borderId="13" xfId="253" applyNumberFormat="1" applyFont="1" applyBorder="1"/>
    <xf numFmtId="38" fontId="12" fillId="0" borderId="0" xfId="0" applyNumberFormat="1" applyFont="1"/>
    <xf numFmtId="40" fontId="26" fillId="0" borderId="0" xfId="253" applyNumberFormat="1" applyFont="1"/>
    <xf numFmtId="43" fontId="5" fillId="0" borderId="0" xfId="253" applyNumberFormat="1" applyFont="1"/>
    <xf numFmtId="3" fontId="5" fillId="0" borderId="0" xfId="0" applyNumberFormat="1" applyFont="1"/>
    <xf numFmtId="41" fontId="27" fillId="25" borderId="0" xfId="253" applyNumberFormat="1" applyFont="1" applyFill="1"/>
    <xf numFmtId="0" fontId="32" fillId="0" borderId="0" xfId="0" applyFont="1"/>
    <xf numFmtId="0" fontId="19" fillId="0" borderId="0" xfId="253" applyFont="1"/>
    <xf numFmtId="0" fontId="12" fillId="0" borderId="0" xfId="253" applyFont="1" applyAlignment="1">
      <alignment horizontal="center"/>
    </xf>
    <xf numFmtId="0" fontId="5" fillId="0" borderId="0" xfId="211" applyFont="1" applyAlignment="1">
      <alignment horizontal="center"/>
    </xf>
    <xf numFmtId="49" fontId="5" fillId="0" borderId="0" xfId="253" applyNumberFormat="1" applyFont="1" applyAlignment="1">
      <alignment horizontal="center"/>
    </xf>
    <xf numFmtId="3" fontId="10" fillId="0" borderId="0" xfId="0" applyNumberFormat="1" applyFont="1" applyAlignment="1">
      <alignment horizontal="center"/>
    </xf>
    <xf numFmtId="0" fontId="12" fillId="0" borderId="0" xfId="0" applyFont="1" applyAlignment="1">
      <alignment horizontal="center"/>
    </xf>
    <xf numFmtId="0" fontId="71" fillId="0" borderId="0" xfId="261" applyFont="1"/>
    <xf numFmtId="185" fontId="18" fillId="0" borderId="0" xfId="261" applyNumberFormat="1" applyFont="1" applyAlignment="1">
      <alignment horizontal="center"/>
    </xf>
    <xf numFmtId="0" fontId="12" fillId="0" borderId="0" xfId="261" applyFont="1"/>
    <xf numFmtId="0" fontId="18" fillId="0" borderId="0" xfId="261" applyFont="1"/>
    <xf numFmtId="0" fontId="18" fillId="0" borderId="0" xfId="261" applyFont="1" applyAlignment="1">
      <alignment horizontal="center"/>
    </xf>
    <xf numFmtId="0" fontId="73" fillId="0" borderId="0" xfId="261" applyFont="1"/>
    <xf numFmtId="0" fontId="74" fillId="0" borderId="0" xfId="261" applyFont="1"/>
    <xf numFmtId="185" fontId="12" fillId="0" borderId="0" xfId="261" applyNumberFormat="1" applyFont="1"/>
    <xf numFmtId="0" fontId="75" fillId="0" borderId="0" xfId="258" applyFont="1" applyAlignment="1">
      <alignment horizontal="center"/>
    </xf>
    <xf numFmtId="0" fontId="75" fillId="0" borderId="0" xfId="258" applyFont="1" applyAlignment="1">
      <alignment horizontal="left" indent="2"/>
    </xf>
    <xf numFmtId="39" fontId="75" fillId="0" borderId="0" xfId="258" applyNumberFormat="1" applyFont="1"/>
    <xf numFmtId="0" fontId="12" fillId="0" borderId="0" xfId="261" applyFont="1" applyAlignment="1">
      <alignment horizontal="center"/>
    </xf>
    <xf numFmtId="173" fontId="71" fillId="0" borderId="14" xfId="86" applyNumberFormat="1" applyFont="1" applyBorder="1"/>
    <xf numFmtId="0" fontId="71" fillId="0" borderId="0" xfId="0" applyFont="1"/>
    <xf numFmtId="173" fontId="0" fillId="0" borderId="0" xfId="0" applyNumberFormat="1"/>
    <xf numFmtId="0" fontId="80" fillId="0" borderId="0" xfId="253" applyFont="1" applyAlignment="1">
      <alignment horizontal="left"/>
    </xf>
    <xf numFmtId="0" fontId="4" fillId="0" borderId="0" xfId="0" applyFont="1" applyAlignment="1">
      <alignment horizontal="center"/>
    </xf>
    <xf numFmtId="0" fontId="4" fillId="0" borderId="0" xfId="211" applyFont="1" applyAlignment="1">
      <alignment horizontal="center"/>
    </xf>
    <xf numFmtId="173" fontId="71" fillId="0" borderId="0" xfId="261" applyNumberFormat="1" applyFont="1"/>
    <xf numFmtId="3" fontId="4" fillId="0" borderId="0" xfId="0" applyNumberFormat="1" applyFont="1" applyAlignment="1">
      <alignment horizontal="center"/>
    </xf>
    <xf numFmtId="0" fontId="12" fillId="0" borderId="0" xfId="0" applyFont="1" applyAlignment="1">
      <alignment horizontal="centerContinuous"/>
    </xf>
    <xf numFmtId="0" fontId="17" fillId="0" borderId="0" xfId="0" applyFont="1" applyAlignment="1">
      <alignment horizontal="center"/>
    </xf>
    <xf numFmtId="0" fontId="9" fillId="0" borderId="0" xfId="0" applyFont="1" applyAlignment="1">
      <alignment horizontal="center"/>
    </xf>
    <xf numFmtId="0" fontId="0" fillId="0" borderId="0" xfId="0" applyAlignment="1">
      <alignment horizontal="left"/>
    </xf>
    <xf numFmtId="6" fontId="0" fillId="0" borderId="0" xfId="0" applyNumberFormat="1" applyAlignment="1">
      <alignment horizontal="right"/>
    </xf>
    <xf numFmtId="6" fontId="0" fillId="0" borderId="0" xfId="0" applyNumberFormat="1"/>
    <xf numFmtId="173" fontId="0" fillId="0" borderId="0" xfId="86" applyNumberFormat="1" applyFont="1"/>
    <xf numFmtId="0" fontId="2" fillId="0" borderId="0" xfId="253" applyAlignment="1">
      <alignment horizontal="left"/>
    </xf>
    <xf numFmtId="0" fontId="2" fillId="0" borderId="0" xfId="253"/>
    <xf numFmtId="0" fontId="14" fillId="0" borderId="0" xfId="253" applyFont="1"/>
    <xf numFmtId="0" fontId="83" fillId="0" borderId="0" xfId="253" applyFont="1"/>
    <xf numFmtId="9" fontId="10" fillId="0" borderId="0" xfId="253" quotePrefix="1" applyNumberFormat="1" applyFont="1" applyAlignment="1">
      <alignment horizontal="center"/>
    </xf>
    <xf numFmtId="0" fontId="4" fillId="0" borderId="0" xfId="261" applyFont="1" applyAlignment="1">
      <alignment horizontal="center"/>
    </xf>
    <xf numFmtId="0" fontId="4" fillId="0" borderId="0" xfId="261" applyFont="1"/>
    <xf numFmtId="185" fontId="4" fillId="0" borderId="0" xfId="261" applyNumberFormat="1" applyFont="1" applyAlignment="1">
      <alignment horizontal="center"/>
    </xf>
    <xf numFmtId="0" fontId="4" fillId="0" borderId="11" xfId="261" applyFont="1" applyBorder="1" applyAlignment="1">
      <alignment horizontal="center"/>
    </xf>
    <xf numFmtId="185" fontId="4" fillId="0" borderId="11" xfId="261" applyNumberFormat="1" applyFont="1" applyBorder="1" applyAlignment="1">
      <alignment horizontal="center"/>
    </xf>
    <xf numFmtId="174" fontId="0" fillId="0" borderId="0" xfId="117" applyNumberFormat="1" applyFont="1" applyAlignment="1">
      <alignment horizontal="center"/>
    </xf>
    <xf numFmtId="0" fontId="9" fillId="0" borderId="0" xfId="0" applyFont="1" applyAlignment="1">
      <alignment horizontal="left"/>
    </xf>
    <xf numFmtId="6" fontId="9" fillId="0" borderId="0" xfId="0" applyNumberFormat="1" applyFont="1" applyAlignment="1">
      <alignment horizontal="right"/>
    </xf>
    <xf numFmtId="164" fontId="0" fillId="0" borderId="0" xfId="272" applyNumberFormat="1" applyFont="1"/>
    <xf numFmtId="173" fontId="89" fillId="0" borderId="0" xfId="261" applyNumberFormat="1" applyFont="1"/>
    <xf numFmtId="0" fontId="23" fillId="0" borderId="0" xfId="253" applyFont="1" applyAlignment="1">
      <alignment horizontal="center"/>
    </xf>
    <xf numFmtId="0" fontId="92" fillId="0" borderId="0" xfId="253" applyFont="1"/>
    <xf numFmtId="173" fontId="0" fillId="0" borderId="14" xfId="0" applyNumberFormat="1" applyBorder="1"/>
    <xf numFmtId="9" fontId="0" fillId="0" borderId="0" xfId="272" applyFont="1"/>
    <xf numFmtId="0" fontId="94" fillId="0" borderId="0" xfId="0" applyFont="1" applyAlignment="1">
      <alignment horizontal="center" wrapText="1"/>
    </xf>
    <xf numFmtId="0" fontId="18" fillId="0" borderId="0" xfId="258" applyFont="1" applyAlignment="1">
      <alignment horizontal="center"/>
    </xf>
    <xf numFmtId="190" fontId="98" fillId="0" borderId="0" xfId="211" applyNumberFormat="1" applyFont="1" applyAlignment="1">
      <alignment horizontal="center"/>
    </xf>
    <xf numFmtId="38" fontId="0" fillId="0" borderId="0" xfId="0" applyNumberFormat="1"/>
    <xf numFmtId="0" fontId="2" fillId="0" borderId="0" xfId="0" applyFont="1"/>
    <xf numFmtId="0" fontId="4" fillId="0" borderId="11" xfId="261" applyFont="1" applyBorder="1"/>
    <xf numFmtId="173" fontId="78" fillId="0" borderId="0" xfId="261" applyNumberFormat="1" applyFont="1"/>
    <xf numFmtId="0" fontId="71" fillId="0" borderId="0" xfId="261" applyFont="1" applyAlignment="1">
      <alignment horizontal="center"/>
    </xf>
    <xf numFmtId="3" fontId="78" fillId="0" borderId="0" xfId="261" applyNumberFormat="1" applyFont="1"/>
    <xf numFmtId="38" fontId="22" fillId="0" borderId="0" xfId="0" applyNumberFormat="1" applyFont="1"/>
    <xf numFmtId="176" fontId="3" fillId="0" borderId="15" xfId="263" applyNumberFormat="1" applyBorder="1"/>
    <xf numFmtId="176" fontId="3" fillId="0" borderId="0" xfId="263" applyNumberFormat="1"/>
    <xf numFmtId="49" fontId="5" fillId="0" borderId="0" xfId="86" applyNumberFormat="1" applyFont="1" applyAlignment="1">
      <alignment horizontal="center"/>
    </xf>
    <xf numFmtId="0" fontId="99" fillId="0" borderId="0" xfId="261" applyFont="1"/>
    <xf numFmtId="0" fontId="119" fillId="0" borderId="0" xfId="261" applyFont="1"/>
    <xf numFmtId="0" fontId="32" fillId="0" borderId="0" xfId="253" applyFont="1"/>
    <xf numFmtId="0" fontId="107" fillId="0" borderId="0" xfId="253" applyFont="1" applyAlignment="1">
      <alignment horizontal="center"/>
    </xf>
    <xf numFmtId="0" fontId="94" fillId="0" borderId="0" xfId="0" applyFont="1" applyAlignment="1">
      <alignment horizontal="center"/>
    </xf>
    <xf numFmtId="41" fontId="19" fillId="30" borderId="6" xfId="260" applyNumberFormat="1" applyFont="1" applyFill="1" applyBorder="1" applyProtection="1">
      <protection locked="0"/>
    </xf>
    <xf numFmtId="3" fontId="19" fillId="30" borderId="0" xfId="260" applyNumberFormat="1" applyFont="1" applyFill="1" applyProtection="1">
      <protection locked="0"/>
    </xf>
    <xf numFmtId="41" fontId="5" fillId="30" borderId="0" xfId="260" applyNumberFormat="1" applyFont="1" applyFill="1" applyProtection="1">
      <protection locked="0"/>
    </xf>
    <xf numFmtId="173" fontId="19" fillId="30" borderId="0" xfId="86" applyNumberFormat="1" applyFont="1" applyFill="1" applyAlignment="1" applyProtection="1">
      <alignment horizontal="right"/>
      <protection locked="0"/>
    </xf>
    <xf numFmtId="41" fontId="19" fillId="30" borderId="0" xfId="260" applyNumberFormat="1" applyFont="1" applyFill="1" applyProtection="1">
      <protection locked="0"/>
    </xf>
    <xf numFmtId="173" fontId="8" fillId="30" borderId="0" xfId="86" applyNumberFormat="1" applyFont="1" applyFill="1" applyProtection="1">
      <protection locked="0"/>
    </xf>
    <xf numFmtId="173" fontId="8" fillId="30" borderId="11" xfId="86" applyNumberFormat="1" applyFont="1" applyFill="1" applyBorder="1" applyAlignment="1" applyProtection="1">
      <protection locked="0"/>
    </xf>
    <xf numFmtId="10" fontId="19" fillId="30" borderId="0" xfId="260" applyNumberFormat="1" applyFont="1" applyFill="1" applyProtection="1">
      <protection locked="0"/>
    </xf>
    <xf numFmtId="41" fontId="19" fillId="30" borderId="0" xfId="260" applyNumberFormat="1" applyFont="1" applyFill="1" applyAlignment="1" applyProtection="1">
      <alignment vertical="center"/>
      <protection locked="0"/>
    </xf>
    <xf numFmtId="0" fontId="6" fillId="0" borderId="0" xfId="0" applyFont="1"/>
    <xf numFmtId="10" fontId="19" fillId="31" borderId="0" xfId="272" applyNumberFormat="1" applyFont="1" applyFill="1" applyAlignment="1" applyProtection="1">
      <protection locked="0"/>
    </xf>
    <xf numFmtId="173" fontId="78" fillId="32" borderId="0" xfId="261" applyNumberFormat="1" applyFont="1" applyFill="1"/>
    <xf numFmtId="172" fontId="3" fillId="0" borderId="0" xfId="260" applyProtection="1"/>
    <xf numFmtId="172" fontId="5" fillId="0" borderId="0" xfId="260" applyFont="1" applyProtection="1"/>
    <xf numFmtId="0" fontId="6" fillId="0" borderId="0" xfId="260" applyNumberFormat="1" applyFont="1" applyAlignment="1" applyProtection="1">
      <alignment horizontal="left"/>
    </xf>
    <xf numFmtId="14" fontId="6" fillId="0" borderId="0" xfId="260" applyNumberFormat="1" applyFont="1" applyProtection="1"/>
    <xf numFmtId="172" fontId="6" fillId="0" borderId="0" xfId="260" applyFont="1" applyProtection="1"/>
    <xf numFmtId="0" fontId="19" fillId="32" borderId="0" xfId="86" applyNumberFormat="1" applyFont="1" applyFill="1" applyAlignment="1" applyProtection="1"/>
    <xf numFmtId="0" fontId="5" fillId="0" borderId="0" xfId="260" applyNumberFormat="1" applyFont="1" applyProtection="1"/>
    <xf numFmtId="0" fontId="5" fillId="0" borderId="0" xfId="0" applyFont="1"/>
    <xf numFmtId="0" fontId="5" fillId="0" borderId="0" xfId="260" applyNumberFormat="1" applyFont="1" applyAlignment="1" applyProtection="1">
      <alignment horizontal="right"/>
    </xf>
    <xf numFmtId="0" fontId="19" fillId="0" borderId="0" xfId="86" applyNumberFormat="1" applyFont="1" applyFill="1" applyAlignment="1" applyProtection="1"/>
    <xf numFmtId="3" fontId="5" fillId="0" borderId="0" xfId="260" applyNumberFormat="1" applyFont="1" applyProtection="1"/>
    <xf numFmtId="0" fontId="3" fillId="0" borderId="0" xfId="260" applyNumberFormat="1" applyAlignment="1" applyProtection="1">
      <alignment horizontal="center"/>
    </xf>
    <xf numFmtId="0" fontId="5" fillId="0" borderId="0" xfId="260" applyNumberFormat="1" applyFont="1" applyAlignment="1" applyProtection="1">
      <alignment horizontal="center"/>
    </xf>
    <xf numFmtId="49" fontId="5" fillId="0" borderId="0" xfId="260" applyNumberFormat="1" applyFont="1" applyAlignment="1" applyProtection="1">
      <alignment horizontal="center"/>
    </xf>
    <xf numFmtId="3" fontId="21" fillId="0" borderId="0" xfId="0" applyNumberFormat="1" applyFont="1" applyAlignment="1">
      <alignment horizontal="center"/>
    </xf>
    <xf numFmtId="49" fontId="5" fillId="0" borderId="0" xfId="260" applyNumberFormat="1" applyFont="1" applyProtection="1"/>
    <xf numFmtId="39" fontId="5" fillId="0" borderId="0" xfId="86" applyNumberFormat="1" applyFont="1" applyAlignment="1" applyProtection="1">
      <alignment horizontal="center"/>
    </xf>
    <xf numFmtId="0" fontId="3" fillId="0" borderId="6" xfId="260" applyNumberFormat="1" applyBorder="1" applyAlignment="1" applyProtection="1">
      <alignment horizontal="center"/>
    </xf>
    <xf numFmtId="0" fontId="5" fillId="0" borderId="6" xfId="260" applyNumberFormat="1" applyFont="1" applyBorder="1" applyAlignment="1" applyProtection="1">
      <alignment horizontal="center"/>
    </xf>
    <xf numFmtId="0" fontId="5" fillId="0" borderId="0" xfId="260" applyNumberFormat="1" applyFont="1" applyAlignment="1" applyProtection="1">
      <alignment horizontal="left"/>
    </xf>
    <xf numFmtId="170" fontId="5" fillId="0" borderId="0" xfId="260" applyNumberFormat="1" applyFont="1" applyProtection="1"/>
    <xf numFmtId="3" fontId="5" fillId="0" borderId="0" xfId="260" applyNumberFormat="1" applyFont="1" applyAlignment="1" applyProtection="1">
      <alignment horizontal="left"/>
    </xf>
    <xf numFmtId="0" fontId="5" fillId="0" borderId="6" xfId="260" applyNumberFormat="1" applyFont="1" applyBorder="1" applyAlignment="1" applyProtection="1">
      <alignment horizontal="centerContinuous"/>
    </xf>
    <xf numFmtId="41" fontId="5" fillId="0" borderId="0" xfId="260" applyNumberFormat="1" applyFont="1" applyProtection="1"/>
    <xf numFmtId="3" fontId="5" fillId="0" borderId="0" xfId="260" applyNumberFormat="1" applyFont="1" applyAlignment="1" applyProtection="1">
      <alignment horizontal="center"/>
    </xf>
    <xf numFmtId="165" fontId="5" fillId="0" borderId="0" xfId="260" applyNumberFormat="1" applyFont="1" applyAlignment="1" applyProtection="1">
      <alignment horizontal="right"/>
    </xf>
    <xf numFmtId="42" fontId="5" fillId="0" borderId="0" xfId="260" applyNumberFormat="1" applyFont="1" applyProtection="1"/>
    <xf numFmtId="0" fontId="5" fillId="0" borderId="0" xfId="0" applyFont="1" applyAlignment="1">
      <alignment wrapText="1"/>
    </xf>
    <xf numFmtId="174" fontId="5" fillId="0" borderId="14" xfId="260" applyNumberFormat="1" applyFont="1" applyBorder="1" applyProtection="1"/>
    <xf numFmtId="172" fontId="77" fillId="0" borderId="0" xfId="260" applyFont="1" applyAlignment="1" applyProtection="1">
      <alignment horizontal="center" wrapText="1"/>
    </xf>
    <xf numFmtId="43" fontId="5" fillId="0" borderId="0" xfId="86" applyFont="1" applyProtection="1"/>
    <xf numFmtId="171" fontId="5" fillId="0" borderId="0" xfId="260" applyNumberFormat="1" applyFont="1" applyProtection="1"/>
    <xf numFmtId="10" fontId="5" fillId="0" borderId="0" xfId="260" applyNumberFormat="1" applyFont="1" applyProtection="1"/>
    <xf numFmtId="10" fontId="5" fillId="0" borderId="0" xfId="272" applyNumberFormat="1" applyFont="1" applyFill="1" applyAlignment="1" applyProtection="1"/>
    <xf numFmtId="186" fontId="5" fillId="0" borderId="0" xfId="260" applyNumberFormat="1" applyFont="1" applyProtection="1"/>
    <xf numFmtId="41" fontId="5" fillId="0" borderId="0" xfId="260" applyNumberFormat="1" applyFont="1" applyAlignment="1" applyProtection="1">
      <alignment horizontal="center"/>
    </xf>
    <xf numFmtId="41" fontId="5" fillId="0" borderId="14" xfId="260" applyNumberFormat="1" applyFont="1" applyBorder="1" applyAlignment="1" applyProtection="1">
      <alignment horizontal="center"/>
    </xf>
    <xf numFmtId="41" fontId="5" fillId="0" borderId="0" xfId="260" applyNumberFormat="1" applyFont="1" applyAlignment="1" applyProtection="1">
      <alignment horizontal="right"/>
    </xf>
    <xf numFmtId="42" fontId="5" fillId="0" borderId="0" xfId="272" applyNumberFormat="1" applyFont="1" applyAlignment="1" applyProtection="1"/>
    <xf numFmtId="43" fontId="5" fillId="0" borderId="0" xfId="260" applyNumberFormat="1" applyFont="1" applyAlignment="1" applyProtection="1">
      <alignment horizontal="right"/>
    </xf>
    <xf numFmtId="43" fontId="5" fillId="0" borderId="0" xfId="86" applyFont="1" applyAlignment="1" applyProtection="1"/>
    <xf numFmtId="172" fontId="5" fillId="0" borderId="0" xfId="260" applyFont="1" applyAlignment="1" applyProtection="1">
      <alignment horizontal="right"/>
    </xf>
    <xf numFmtId="0" fontId="32" fillId="0" borderId="0" xfId="0" applyFont="1" applyAlignment="1">
      <alignment horizontal="center"/>
    </xf>
    <xf numFmtId="49" fontId="5" fillId="0" borderId="0" xfId="260" applyNumberFormat="1" applyFont="1" applyAlignment="1" applyProtection="1">
      <alignment horizontal="left"/>
    </xf>
    <xf numFmtId="0" fontId="3" fillId="0" borderId="0" xfId="260" applyNumberFormat="1" applyAlignment="1" applyProtection="1">
      <alignment horizontal="center" vertical="center"/>
    </xf>
    <xf numFmtId="3" fontId="6" fillId="0" borderId="0" xfId="260" applyNumberFormat="1" applyFont="1" applyAlignment="1" applyProtection="1">
      <alignment horizontal="center"/>
    </xf>
    <xf numFmtId="172" fontId="6" fillId="0" borderId="0" xfId="260" applyFont="1" applyAlignment="1" applyProtection="1">
      <alignment horizontal="center"/>
    </xf>
    <xf numFmtId="49" fontId="6" fillId="0" borderId="0" xfId="260" applyNumberFormat="1" applyFont="1" applyAlignment="1" applyProtection="1">
      <alignment horizontal="center"/>
    </xf>
    <xf numFmtId="0" fontId="10" fillId="0" borderId="0" xfId="260" applyNumberFormat="1" applyFont="1" applyAlignment="1" applyProtection="1">
      <alignment horizontal="center"/>
    </xf>
    <xf numFmtId="172" fontId="10" fillId="0" borderId="0" xfId="260" applyFont="1" applyAlignment="1" applyProtection="1">
      <alignment horizontal="center"/>
    </xf>
    <xf numFmtId="3" fontId="6" fillId="0" borderId="0" xfId="260" applyNumberFormat="1" applyFont="1" applyProtection="1"/>
    <xf numFmtId="3" fontId="14" fillId="0" borderId="0" xfId="260" applyNumberFormat="1" applyFont="1" applyAlignment="1" applyProtection="1">
      <alignment horizontal="center"/>
    </xf>
    <xf numFmtId="0" fontId="28" fillId="0" borderId="0" xfId="260" applyNumberFormat="1" applyFont="1" applyProtection="1"/>
    <xf numFmtId="0" fontId="5" fillId="0" borderId="0" xfId="260" applyNumberFormat="1" applyFont="1" applyAlignment="1" applyProtection="1">
      <alignment horizontal="center" vertical="center"/>
    </xf>
    <xf numFmtId="0" fontId="5" fillId="0" borderId="0" xfId="260" applyNumberFormat="1" applyFont="1" applyAlignment="1" applyProtection="1">
      <alignment vertical="center"/>
    </xf>
    <xf numFmtId="3" fontId="5" fillId="0" borderId="0" xfId="260" applyNumberFormat="1" applyFont="1" applyAlignment="1" applyProtection="1">
      <alignment vertical="center" wrapText="1"/>
    </xf>
    <xf numFmtId="3" fontId="5" fillId="0" borderId="0" xfId="260" applyNumberFormat="1" applyFont="1" applyAlignment="1" applyProtection="1">
      <alignment vertical="center"/>
    </xf>
    <xf numFmtId="41" fontId="5" fillId="0" borderId="0" xfId="260" applyNumberFormat="1" applyFont="1" applyAlignment="1" applyProtection="1">
      <alignment vertical="center"/>
    </xf>
    <xf numFmtId="41" fontId="5" fillId="0" borderId="6" xfId="260" applyNumberFormat="1" applyFont="1" applyBorder="1" applyProtection="1"/>
    <xf numFmtId="178" fontId="5" fillId="0" borderId="0" xfId="260" applyNumberFormat="1" applyFont="1" applyProtection="1"/>
    <xf numFmtId="165" fontId="5" fillId="0" borderId="0" xfId="260" applyNumberFormat="1" applyFont="1" applyProtection="1"/>
    <xf numFmtId="0" fontId="32" fillId="0" borderId="0" xfId="0" applyFont="1" applyAlignment="1">
      <alignment wrapText="1"/>
    </xf>
    <xf numFmtId="164" fontId="5" fillId="0" borderId="0" xfId="260" applyNumberFormat="1" applyFont="1" applyAlignment="1" applyProtection="1">
      <alignment horizontal="center"/>
    </xf>
    <xf numFmtId="0" fontId="3" fillId="32" borderId="0" xfId="260" applyNumberFormat="1" applyFill="1" applyAlignment="1" applyProtection="1">
      <alignment horizontal="center"/>
    </xf>
    <xf numFmtId="3" fontId="6" fillId="0" borderId="0" xfId="260" applyNumberFormat="1" applyFont="1" applyAlignment="1" applyProtection="1">
      <alignment horizontal="right"/>
    </xf>
    <xf numFmtId="182" fontId="5" fillId="0" borderId="0" xfId="86" applyNumberFormat="1" applyFont="1" applyFill="1" applyAlignment="1" applyProtection="1"/>
    <xf numFmtId="164" fontId="5" fillId="0" borderId="0" xfId="260" applyNumberFormat="1" applyFont="1" applyAlignment="1" applyProtection="1">
      <alignment horizontal="left"/>
    </xf>
    <xf numFmtId="175" fontId="5" fillId="0" borderId="0" xfId="260" applyNumberFormat="1" applyFont="1" applyProtection="1"/>
    <xf numFmtId="41" fontId="5" fillId="0" borderId="0" xfId="260" applyNumberFormat="1" applyFont="1" applyAlignment="1" applyProtection="1">
      <alignment horizontal="center" vertical="center"/>
    </xf>
    <xf numFmtId="41" fontId="5" fillId="0" borderId="16" xfId="260" applyNumberFormat="1" applyFont="1" applyBorder="1" applyProtection="1"/>
    <xf numFmtId="0" fontId="85" fillId="0" borderId="0" xfId="260" applyNumberFormat="1" applyFont="1" applyAlignment="1" applyProtection="1">
      <alignment horizontal="center"/>
    </xf>
    <xf numFmtId="3" fontId="5" fillId="0" borderId="0" xfId="260" applyNumberFormat="1" applyFont="1" applyAlignment="1" applyProtection="1">
      <alignment horizontal="right"/>
    </xf>
    <xf numFmtId="172" fontId="5" fillId="0" borderId="0" xfId="260" applyFont="1" applyAlignment="1" applyProtection="1">
      <alignment horizontal="center"/>
    </xf>
    <xf numFmtId="0" fontId="6" fillId="0" borderId="0" xfId="260" applyNumberFormat="1" applyFont="1" applyAlignment="1" applyProtection="1">
      <alignment horizontal="center"/>
    </xf>
    <xf numFmtId="3" fontId="10" fillId="0" borderId="0" xfId="260" applyNumberFormat="1" applyFont="1" applyAlignment="1" applyProtection="1">
      <alignment horizontal="center"/>
    </xf>
    <xf numFmtId="3" fontId="10" fillId="0" borderId="0" xfId="260" applyNumberFormat="1" applyFont="1" applyProtection="1"/>
    <xf numFmtId="41" fontId="151" fillId="32" borderId="0" xfId="260" applyNumberFormat="1" applyFont="1" applyFill="1" applyAlignment="1" applyProtection="1">
      <alignment wrapText="1"/>
    </xf>
    <xf numFmtId="43" fontId="12" fillId="0" borderId="0" xfId="86" applyFont="1" applyAlignment="1" applyProtection="1"/>
    <xf numFmtId="3" fontId="5" fillId="0" borderId="0" xfId="260" applyNumberFormat="1" applyFont="1" applyAlignment="1" applyProtection="1">
      <alignment horizontal="center" vertical="center"/>
    </xf>
    <xf numFmtId="3" fontId="5" fillId="0" borderId="0" xfId="260" applyNumberFormat="1" applyFont="1" applyAlignment="1" applyProtection="1">
      <alignment horizontal="left" wrapText="1"/>
    </xf>
    <xf numFmtId="0" fontId="12" fillId="0" borderId="0" xfId="0" applyFont="1" applyAlignment="1">
      <alignment horizontal="left" wrapText="1"/>
    </xf>
    <xf numFmtId="43" fontId="5" fillId="0" borderId="0" xfId="272" applyNumberFormat="1" applyFont="1" applyFill="1" applyAlignment="1" applyProtection="1"/>
    <xf numFmtId="166" fontId="5" fillId="0" borderId="0" xfId="260" applyNumberFormat="1" applyFont="1" applyProtection="1"/>
    <xf numFmtId="182" fontId="5" fillId="0" borderId="0" xfId="86" applyNumberFormat="1" applyFont="1" applyAlignment="1" applyProtection="1"/>
    <xf numFmtId="167" fontId="5" fillId="0" borderId="0" xfId="260" applyNumberFormat="1" applyFont="1" applyProtection="1"/>
    <xf numFmtId="172" fontId="23" fillId="0" borderId="0" xfId="260" applyFont="1" applyProtection="1"/>
    <xf numFmtId="168" fontId="5" fillId="0" borderId="0" xfId="260" applyNumberFormat="1" applyFont="1" applyProtection="1"/>
    <xf numFmtId="10" fontId="5" fillId="0" borderId="0" xfId="260" applyNumberFormat="1" applyFont="1" applyAlignment="1" applyProtection="1">
      <alignment horizontal="right"/>
    </xf>
    <xf numFmtId="10" fontId="32" fillId="0" borderId="0" xfId="272" applyNumberFormat="1" applyFont="1" applyProtection="1"/>
    <xf numFmtId="3" fontId="23" fillId="0" borderId="0" xfId="260" applyNumberFormat="1" applyFont="1" applyProtection="1"/>
    <xf numFmtId="166" fontId="5" fillId="0" borderId="0" xfId="260" applyNumberFormat="1" applyFont="1" applyAlignment="1" applyProtection="1">
      <alignment horizontal="center"/>
    </xf>
    <xf numFmtId="188" fontId="23" fillId="0" borderId="0" xfId="260" applyNumberFormat="1" applyFont="1" applyAlignment="1" applyProtection="1">
      <alignment horizontal="center"/>
    </xf>
    <xf numFmtId="189" fontId="5" fillId="0" borderId="0" xfId="260" applyNumberFormat="1" applyFont="1" applyProtection="1"/>
    <xf numFmtId="179" fontId="5" fillId="0" borderId="0" xfId="260" applyNumberFormat="1" applyFont="1" applyAlignment="1" applyProtection="1">
      <alignment horizontal="right"/>
    </xf>
    <xf numFmtId="186" fontId="5" fillId="0" borderId="0" xfId="86" applyNumberFormat="1" applyFont="1" applyAlignment="1" applyProtection="1">
      <alignment horizontal="center"/>
    </xf>
    <xf numFmtId="41" fontId="23" fillId="0" borderId="0" xfId="260" applyNumberFormat="1" applyFont="1" applyProtection="1"/>
    <xf numFmtId="43" fontId="23" fillId="0" borderId="0" xfId="86" applyFont="1" applyAlignment="1" applyProtection="1"/>
    <xf numFmtId="10" fontId="5" fillId="0" borderId="0" xfId="260" applyNumberFormat="1" applyFont="1" applyAlignment="1" applyProtection="1">
      <alignment horizontal="left"/>
    </xf>
    <xf numFmtId="168" fontId="5" fillId="0" borderId="0" xfId="260" applyNumberFormat="1" applyFont="1" applyAlignment="1" applyProtection="1">
      <alignment horizontal="left"/>
    </xf>
    <xf numFmtId="179" fontId="5" fillId="0" borderId="0" xfId="260" applyNumberFormat="1" applyFont="1" applyProtection="1"/>
    <xf numFmtId="173" fontId="5" fillId="0" borderId="0" xfId="260" applyNumberFormat="1" applyFont="1" applyProtection="1"/>
    <xf numFmtId="164" fontId="5" fillId="0" borderId="0" xfId="260" applyNumberFormat="1" applyFont="1" applyAlignment="1" applyProtection="1">
      <alignment horizontal="left" vertical="center"/>
    </xf>
    <xf numFmtId="180" fontId="5" fillId="0" borderId="0" xfId="260" applyNumberFormat="1" applyFont="1" applyProtection="1"/>
    <xf numFmtId="173" fontId="5" fillId="0" borderId="14" xfId="86" applyNumberFormat="1" applyFont="1" applyBorder="1" applyAlignment="1" applyProtection="1"/>
    <xf numFmtId="0" fontId="6" fillId="0" borderId="0" xfId="260" applyNumberFormat="1" applyFont="1" applyProtection="1"/>
    <xf numFmtId="0" fontId="5" fillId="0" borderId="0" xfId="0" applyFont="1" applyAlignment="1">
      <alignment horizontal="left"/>
    </xf>
    <xf numFmtId="165" fontId="6" fillId="0" borderId="0" xfId="260" applyNumberFormat="1" applyFont="1" applyAlignment="1" applyProtection="1">
      <alignment horizontal="right"/>
    </xf>
    <xf numFmtId="3" fontId="5" fillId="0" borderId="0" xfId="260" applyNumberFormat="1" applyFont="1" applyAlignment="1" applyProtection="1">
      <alignment horizontal="center" wrapText="1"/>
    </xf>
    <xf numFmtId="173" fontId="5" fillId="0" borderId="0" xfId="86" applyNumberFormat="1" applyFont="1" applyFill="1" applyAlignment="1" applyProtection="1"/>
    <xf numFmtId="4" fontId="5" fillId="0" borderId="0" xfId="260" applyNumberFormat="1" applyFont="1" applyProtection="1"/>
    <xf numFmtId="172" fontId="6" fillId="0" borderId="0" xfId="260" applyFont="1" applyAlignment="1" applyProtection="1">
      <alignment horizontal="right"/>
    </xf>
    <xf numFmtId="165" fontId="6" fillId="0" borderId="0" xfId="260" applyNumberFormat="1" applyFont="1" applyProtection="1"/>
    <xf numFmtId="0" fontId="10" fillId="0" borderId="0" xfId="260" applyNumberFormat="1" applyFont="1" applyProtection="1"/>
    <xf numFmtId="3" fontId="5" fillId="0" borderId="6" xfId="260" applyNumberFormat="1" applyFont="1" applyBorder="1" applyAlignment="1" applyProtection="1">
      <alignment horizontal="center"/>
    </xf>
    <xf numFmtId="41" fontId="6" fillId="0" borderId="0" xfId="260" applyNumberFormat="1" applyFont="1" applyProtection="1"/>
    <xf numFmtId="0" fontId="14" fillId="0" borderId="0" xfId="260" applyNumberFormat="1" applyFont="1" applyAlignment="1" applyProtection="1">
      <alignment horizontal="left"/>
    </xf>
    <xf numFmtId="3" fontId="5" fillId="32" borderId="0" xfId="260" applyNumberFormat="1" applyFont="1" applyFill="1" applyProtection="1"/>
    <xf numFmtId="182" fontId="5" fillId="0" borderId="6" xfId="86" applyNumberFormat="1" applyFont="1" applyFill="1" applyBorder="1" applyAlignment="1" applyProtection="1">
      <alignment horizontal="center"/>
    </xf>
    <xf numFmtId="169" fontId="5" fillId="0" borderId="17" xfId="260" applyNumberFormat="1" applyFont="1" applyBorder="1" applyProtection="1"/>
    <xf numFmtId="169" fontId="5" fillId="0" borderId="0" xfId="260" applyNumberFormat="1" applyFont="1" applyProtection="1"/>
    <xf numFmtId="10" fontId="5" fillId="0" borderId="6" xfId="260" applyNumberFormat="1" applyFont="1" applyBorder="1" applyProtection="1"/>
    <xf numFmtId="182" fontId="12" fillId="0" borderId="0" xfId="86" applyNumberFormat="1" applyFont="1" applyFill="1" applyProtection="1"/>
    <xf numFmtId="169" fontId="6" fillId="0" borderId="0" xfId="260" applyNumberFormat="1" applyFont="1" applyProtection="1"/>
    <xf numFmtId="0" fontId="3" fillId="31" borderId="0" xfId="260" applyNumberFormat="1" applyFill="1" applyAlignment="1" applyProtection="1">
      <alignment horizontal="center"/>
    </xf>
    <xf numFmtId="0" fontId="5" fillId="31" borderId="0" xfId="260" applyNumberFormat="1" applyFont="1" applyFill="1" applyAlignment="1" applyProtection="1">
      <alignment horizontal="center"/>
    </xf>
    <xf numFmtId="0" fontId="10" fillId="31" borderId="0" xfId="260" applyNumberFormat="1" applyFont="1" applyFill="1" applyProtection="1"/>
    <xf numFmtId="0" fontId="5" fillId="31" borderId="0" xfId="260" applyNumberFormat="1" applyFont="1" applyFill="1" applyAlignment="1" applyProtection="1">
      <alignment horizontal="left"/>
    </xf>
    <xf numFmtId="3" fontId="5" fillId="31" borderId="0" xfId="260" applyNumberFormat="1" applyFont="1" applyFill="1" applyProtection="1"/>
    <xf numFmtId="172" fontId="5" fillId="31" borderId="0" xfId="260" applyFont="1" applyFill="1" applyProtection="1"/>
    <xf numFmtId="3" fontId="6" fillId="31" borderId="0" xfId="260" applyNumberFormat="1" applyFont="1" applyFill="1" applyProtection="1"/>
    <xf numFmtId="166" fontId="6" fillId="31" borderId="0" xfId="260" applyNumberFormat="1" applyFont="1" applyFill="1" applyProtection="1"/>
    <xf numFmtId="0" fontId="5" fillId="31" borderId="0" xfId="260" applyNumberFormat="1" applyFont="1" applyFill="1" applyProtection="1"/>
    <xf numFmtId="3" fontId="5" fillId="31" borderId="6" xfId="260" applyNumberFormat="1" applyFont="1" applyFill="1" applyBorder="1" applyAlignment="1" applyProtection="1">
      <alignment horizontal="center"/>
    </xf>
    <xf numFmtId="41" fontId="5" fillId="31" borderId="0" xfId="260" applyNumberFormat="1" applyFont="1" applyFill="1" applyProtection="1"/>
    <xf numFmtId="0" fontId="14" fillId="31" borderId="0" xfId="260" applyNumberFormat="1" applyFont="1" applyFill="1" applyAlignment="1" applyProtection="1">
      <alignment horizontal="left"/>
    </xf>
    <xf numFmtId="0" fontId="0" fillId="31" borderId="0" xfId="0" applyFill="1"/>
    <xf numFmtId="0" fontId="32" fillId="31" borderId="0" xfId="0" applyFont="1" applyFill="1"/>
    <xf numFmtId="41" fontId="19" fillId="31" borderId="0" xfId="260" applyNumberFormat="1" applyFont="1" applyFill="1" applyProtection="1"/>
    <xf numFmtId="10" fontId="5" fillId="31" borderId="0" xfId="272" applyNumberFormat="1" applyFont="1" applyFill="1" applyAlignment="1" applyProtection="1"/>
    <xf numFmtId="41" fontId="19" fillId="31" borderId="6" xfId="260" applyNumberFormat="1" applyFont="1" applyFill="1" applyBorder="1" applyProtection="1"/>
    <xf numFmtId="3" fontId="23" fillId="31" borderId="0" xfId="260" applyNumberFormat="1" applyFont="1" applyFill="1" applyProtection="1"/>
    <xf numFmtId="0" fontId="5" fillId="31" borderId="6" xfId="260" applyNumberFormat="1" applyFont="1" applyFill="1" applyBorder="1" applyAlignment="1" applyProtection="1">
      <alignment horizontal="center"/>
    </xf>
    <xf numFmtId="182" fontId="5" fillId="31" borderId="6" xfId="86" applyNumberFormat="1" applyFont="1" applyFill="1" applyBorder="1" applyAlignment="1" applyProtection="1">
      <alignment horizontal="center"/>
    </xf>
    <xf numFmtId="10" fontId="5" fillId="31" borderId="0" xfId="260" applyNumberFormat="1" applyFont="1" applyFill="1" applyProtection="1"/>
    <xf numFmtId="169" fontId="23" fillId="31" borderId="0" xfId="260" applyNumberFormat="1" applyFont="1" applyFill="1" applyProtection="1"/>
    <xf numFmtId="169" fontId="5" fillId="31" borderId="17" xfId="260" applyNumberFormat="1" applyFont="1" applyFill="1" applyBorder="1" applyProtection="1"/>
    <xf numFmtId="3" fontId="5" fillId="0" borderId="0" xfId="260" quotePrefix="1" applyNumberFormat="1" applyFont="1" applyProtection="1"/>
    <xf numFmtId="169" fontId="5" fillId="31" borderId="0" xfId="260" applyNumberFormat="1" applyFont="1" applyFill="1" applyProtection="1"/>
    <xf numFmtId="41" fontId="5" fillId="31" borderId="6" xfId="260" applyNumberFormat="1" applyFont="1" applyFill="1" applyBorder="1" applyProtection="1"/>
    <xf numFmtId="169" fontId="5" fillId="31" borderId="6" xfId="260" applyNumberFormat="1" applyFont="1" applyFill="1" applyBorder="1" applyProtection="1"/>
    <xf numFmtId="182" fontId="22" fillId="31" borderId="0" xfId="86" applyNumberFormat="1" applyFont="1" applyFill="1" applyProtection="1"/>
    <xf numFmtId="3" fontId="6" fillId="31" borderId="0" xfId="260" applyNumberFormat="1" applyFont="1" applyFill="1" applyAlignment="1" applyProtection="1">
      <alignment horizontal="right"/>
    </xf>
    <xf numFmtId="169" fontId="6" fillId="31" borderId="0" xfId="260" applyNumberFormat="1" applyFont="1" applyFill="1" applyProtection="1"/>
    <xf numFmtId="3" fontId="6" fillId="0" borderId="0" xfId="260" quotePrefix="1" applyNumberFormat="1" applyFont="1" applyProtection="1"/>
    <xf numFmtId="172" fontId="3" fillId="0" borderId="0" xfId="260" applyAlignment="1" applyProtection="1">
      <alignment horizontal="center"/>
    </xf>
    <xf numFmtId="0" fontId="22" fillId="0" borderId="0" xfId="0" applyFont="1"/>
    <xf numFmtId="0" fontId="26" fillId="0" borderId="0" xfId="260" applyNumberFormat="1" applyFont="1" applyProtection="1"/>
    <xf numFmtId="0" fontId="107" fillId="0" borderId="0" xfId="260" applyNumberFormat="1" applyFont="1" applyProtection="1"/>
    <xf numFmtId="172" fontId="26" fillId="0" borderId="0" xfId="260" applyFont="1" applyProtection="1"/>
    <xf numFmtId="0" fontId="26" fillId="0" borderId="0" xfId="0" applyFont="1" applyAlignment="1">
      <alignment vertical="top" wrapText="1"/>
    </xf>
    <xf numFmtId="172" fontId="26" fillId="0" borderId="0" xfId="260" applyFont="1" applyAlignment="1" applyProtection="1">
      <alignment wrapText="1"/>
    </xf>
    <xf numFmtId="172" fontId="107" fillId="0" borderId="0" xfId="260" applyFont="1" applyProtection="1"/>
    <xf numFmtId="0" fontId="3" fillId="0" borderId="0" xfId="260" applyNumberFormat="1" applyProtection="1"/>
    <xf numFmtId="172" fontId="3" fillId="0" borderId="0" xfId="260" applyAlignment="1" applyProtection="1">
      <alignment horizontal="center" wrapText="1"/>
    </xf>
    <xf numFmtId="0" fontId="5" fillId="32" borderId="0" xfId="260" applyNumberFormat="1" applyFont="1" applyFill="1" applyAlignment="1" applyProtection="1">
      <alignment vertical="top" wrapText="1"/>
    </xf>
    <xf numFmtId="0" fontId="12" fillId="32" borderId="0" xfId="0" applyFont="1" applyFill="1"/>
    <xf numFmtId="0" fontId="93" fillId="0" borderId="0" xfId="260" applyNumberFormat="1" applyFont="1" applyAlignment="1" applyProtection="1">
      <alignment horizontal="center"/>
    </xf>
    <xf numFmtId="172" fontId="23" fillId="0" borderId="0" xfId="260" applyFont="1" applyAlignment="1" applyProtection="1">
      <alignment wrapText="1"/>
    </xf>
    <xf numFmtId="173" fontId="19" fillId="0" borderId="0" xfId="86" applyNumberFormat="1" applyFont="1" applyFill="1" applyAlignment="1" applyProtection="1">
      <alignment horizontal="right"/>
    </xf>
    <xf numFmtId="10" fontId="19" fillId="30" borderId="0" xfId="272" applyNumberFormat="1" applyFont="1" applyFill="1" applyAlignment="1" applyProtection="1">
      <protection locked="0"/>
    </xf>
    <xf numFmtId="0" fontId="19" fillId="30" borderId="0" xfId="86" applyNumberFormat="1" applyFont="1" applyFill="1" applyAlignment="1" applyProtection="1">
      <protection locked="0"/>
    </xf>
    <xf numFmtId="0" fontId="12" fillId="0" borderId="0" xfId="211"/>
    <xf numFmtId="0" fontId="12" fillId="0" borderId="0" xfId="211" applyAlignment="1">
      <alignment horizontal="center"/>
    </xf>
    <xf numFmtId="0" fontId="17" fillId="0" borderId="0" xfId="253" applyFont="1" applyAlignment="1">
      <alignment horizontal="center"/>
    </xf>
    <xf numFmtId="0" fontId="12" fillId="0" borderId="0" xfId="211" applyAlignment="1">
      <alignment horizontal="center" wrapText="1"/>
    </xf>
    <xf numFmtId="0" fontId="9" fillId="0" borderId="0" xfId="211" applyFont="1" applyAlignment="1">
      <alignment horizontal="left"/>
    </xf>
    <xf numFmtId="3" fontId="12" fillId="0" borderId="0" xfId="211" applyNumberFormat="1"/>
    <xf numFmtId="173" fontId="0" fillId="0" borderId="0" xfId="86" applyNumberFormat="1" applyFont="1" applyFill="1" applyProtection="1"/>
    <xf numFmtId="173" fontId="12" fillId="0" borderId="0" xfId="89" applyNumberFormat="1" applyFont="1" applyFill="1" applyBorder="1" applyAlignment="1" applyProtection="1">
      <alignment horizontal="right"/>
    </xf>
    <xf numFmtId="0" fontId="12" fillId="0" borderId="0" xfId="211" applyAlignment="1">
      <alignment horizontal="left"/>
    </xf>
    <xf numFmtId="0" fontId="7" fillId="0" borderId="0" xfId="211" applyFont="1" applyAlignment="1">
      <alignment horizontal="left"/>
    </xf>
    <xf numFmtId="173" fontId="8" fillId="30" borderId="0" xfId="89" applyNumberFormat="1" applyFont="1" applyFill="1" applyBorder="1" applyAlignment="1" applyProtection="1">
      <alignment horizontal="right"/>
      <protection locked="0"/>
    </xf>
    <xf numFmtId="0" fontId="9" fillId="0" borderId="0" xfId="211" applyFont="1" applyAlignment="1">
      <alignment horizontal="center"/>
    </xf>
    <xf numFmtId="0" fontId="9" fillId="0" borderId="0" xfId="211" applyFont="1"/>
    <xf numFmtId="0" fontId="13" fillId="0" borderId="0" xfId="0" applyFont="1"/>
    <xf numFmtId="3" fontId="13" fillId="0" borderId="0" xfId="211" applyNumberFormat="1" applyFont="1" applyAlignment="1">
      <alignment horizontal="center"/>
    </xf>
    <xf numFmtId="0" fontId="17" fillId="0" borderId="0" xfId="211" applyFont="1" applyAlignment="1">
      <alignment horizontal="center"/>
    </xf>
    <xf numFmtId="0" fontId="13" fillId="0" borderId="0" xfId="211" applyFont="1" applyAlignment="1">
      <alignment horizontal="left"/>
    </xf>
    <xf numFmtId="173" fontId="13" fillId="0" borderId="0" xfId="89" applyNumberFormat="1" applyFont="1" applyFill="1" applyBorder="1" applyAlignment="1" applyProtection="1">
      <alignment horizontal="right"/>
    </xf>
    <xf numFmtId="164" fontId="12" fillId="0" borderId="0" xfId="274" applyNumberFormat="1" applyFont="1" applyFill="1" applyBorder="1" applyAlignment="1" applyProtection="1"/>
    <xf numFmtId="173" fontId="12" fillId="0" borderId="0" xfId="89" applyNumberFormat="1" applyFont="1" applyFill="1" applyBorder="1" applyAlignment="1" applyProtection="1">
      <alignment horizontal="left"/>
    </xf>
    <xf numFmtId="0" fontId="8" fillId="0" borderId="0" xfId="211" applyFont="1"/>
    <xf numFmtId="0" fontId="87" fillId="0" borderId="0" xfId="0" applyFont="1" applyAlignment="1">
      <alignment horizontal="center"/>
    </xf>
    <xf numFmtId="0" fontId="12" fillId="25" borderId="0" xfId="211" applyFill="1" applyAlignment="1">
      <alignment horizontal="center"/>
    </xf>
    <xf numFmtId="0" fontId="9" fillId="25" borderId="0" xfId="211" applyFont="1" applyFill="1" applyAlignment="1">
      <alignment horizontal="left"/>
    </xf>
    <xf numFmtId="0" fontId="8" fillId="25" borderId="0" xfId="211" applyFont="1" applyFill="1"/>
    <xf numFmtId="0" fontId="12" fillId="25" borderId="0" xfId="211" applyFill="1" applyAlignment="1">
      <alignment horizontal="left"/>
    </xf>
    <xf numFmtId="0" fontId="12" fillId="25" borderId="0" xfId="211" applyFill="1"/>
    <xf numFmtId="173" fontId="12" fillId="25" borderId="0" xfId="89" applyNumberFormat="1" applyFont="1" applyFill="1" applyBorder="1" applyAlignment="1" applyProtection="1">
      <alignment horizontal="right"/>
    </xf>
    <xf numFmtId="0" fontId="0" fillId="25" borderId="0" xfId="0" applyFill="1"/>
    <xf numFmtId="164" fontId="12" fillId="25" borderId="0" xfId="274" applyNumberFormat="1" applyFont="1" applyFill="1" applyBorder="1" applyAlignment="1" applyProtection="1"/>
    <xf numFmtId="173" fontId="12" fillId="25" borderId="0" xfId="89" applyNumberFormat="1" applyFont="1" applyFill="1" applyBorder="1" applyAlignment="1" applyProtection="1">
      <alignment horizontal="left"/>
    </xf>
    <xf numFmtId="0" fontId="81" fillId="0" borderId="0" xfId="211" applyFont="1" applyAlignment="1">
      <alignment horizontal="left"/>
    </xf>
    <xf numFmtId="9" fontId="9" fillId="0" borderId="0" xfId="253" quotePrefix="1" applyNumberFormat="1" applyFont="1" applyAlignment="1">
      <alignment horizontal="center"/>
    </xf>
    <xf numFmtId="0" fontId="69" fillId="0" borderId="0" xfId="253" applyFont="1" applyAlignment="1">
      <alignment horizontal="center"/>
    </xf>
    <xf numFmtId="0" fontId="86" fillId="0" borderId="0" xfId="253" applyFont="1" applyAlignment="1">
      <alignment horizontal="center"/>
    </xf>
    <xf numFmtId="38" fontId="12" fillId="0" borderId="0" xfId="211" applyNumberFormat="1" applyAlignment="1">
      <alignment horizontal="right"/>
    </xf>
    <xf numFmtId="37" fontId="12" fillId="0" borderId="0" xfId="211" applyNumberFormat="1" applyAlignment="1">
      <alignment horizontal="right"/>
    </xf>
    <xf numFmtId="0" fontId="12" fillId="0" borderId="0" xfId="211" applyAlignment="1">
      <alignment horizontal="right"/>
    </xf>
    <xf numFmtId="38" fontId="12" fillId="0" borderId="0" xfId="0" applyNumberFormat="1" applyFont="1" applyAlignment="1">
      <alignment horizontal="right"/>
    </xf>
    <xf numFmtId="38" fontId="8" fillId="0" borderId="0" xfId="211" applyNumberFormat="1" applyFont="1"/>
    <xf numFmtId="37" fontId="8" fillId="0" borderId="0" xfId="211" applyNumberFormat="1" applyFont="1"/>
    <xf numFmtId="173" fontId="8" fillId="0" borderId="14" xfId="86" applyNumberFormat="1" applyFont="1" applyFill="1" applyBorder="1" applyAlignment="1" applyProtection="1"/>
    <xf numFmtId="0" fontId="12" fillId="0" borderId="14" xfId="211" applyBorder="1" applyAlignment="1">
      <alignment horizontal="left"/>
    </xf>
    <xf numFmtId="173" fontId="12" fillId="0" borderId="14" xfId="89" applyNumberFormat="1" applyFont="1" applyFill="1" applyBorder="1" applyAlignment="1" applyProtection="1">
      <alignment horizontal="right"/>
    </xf>
    <xf numFmtId="0" fontId="80" fillId="0" borderId="0" xfId="253" applyFont="1"/>
    <xf numFmtId="173" fontId="2" fillId="0" borderId="0" xfId="86" applyNumberFormat="1" applyProtection="1"/>
    <xf numFmtId="173" fontId="2" fillId="0" borderId="0" xfId="86" applyNumberFormat="1" applyFill="1" applyProtection="1"/>
    <xf numFmtId="173" fontId="12" fillId="0" borderId="0" xfId="86" applyNumberFormat="1" applyFont="1" applyFill="1" applyProtection="1"/>
    <xf numFmtId="173" fontId="2" fillId="0" borderId="0" xfId="86" applyNumberFormat="1" applyFont="1" applyFill="1" applyProtection="1"/>
    <xf numFmtId="0" fontId="9" fillId="0" borderId="0" xfId="253" applyFont="1"/>
    <xf numFmtId="38" fontId="12" fillId="0" borderId="17" xfId="0" applyNumberFormat="1" applyFont="1" applyBorder="1"/>
    <xf numFmtId="37" fontId="12" fillId="0" borderId="17" xfId="0" applyNumberFormat="1" applyFont="1" applyBorder="1"/>
    <xf numFmtId="0" fontId="152" fillId="0" borderId="0" xfId="211" applyFont="1"/>
    <xf numFmtId="0" fontId="32" fillId="0" borderId="0" xfId="253" applyFont="1" applyAlignment="1">
      <alignment horizontal="left"/>
    </xf>
    <xf numFmtId="0" fontId="96" fillId="0" borderId="0" xfId="253" applyFont="1" applyAlignment="1">
      <alignment horizontal="center"/>
    </xf>
    <xf numFmtId="0" fontId="97" fillId="0" borderId="0" xfId="253" applyFont="1"/>
    <xf numFmtId="37" fontId="8" fillId="30" borderId="0" xfId="0" applyNumberFormat="1" applyFont="1" applyFill="1" applyProtection="1">
      <protection locked="0"/>
    </xf>
    <xf numFmtId="0" fontId="2" fillId="0" borderId="0" xfId="0" applyFont="1" applyAlignment="1">
      <alignment horizontal="center"/>
    </xf>
    <xf numFmtId="0" fontId="121" fillId="0" borderId="0" xfId="0" applyFont="1" applyAlignment="1">
      <alignment horizontal="center"/>
    </xf>
    <xf numFmtId="0" fontId="121" fillId="0" borderId="0" xfId="0" applyFont="1" applyAlignment="1">
      <alignment horizontal="left"/>
    </xf>
    <xf numFmtId="0" fontId="121" fillId="0" borderId="0" xfId="0" applyFont="1"/>
    <xf numFmtId="0" fontId="0" fillId="0" borderId="11" xfId="0" applyBorder="1"/>
    <xf numFmtId="43" fontId="0" fillId="0" borderId="0" xfId="0" applyNumberFormat="1"/>
    <xf numFmtId="174" fontId="0" fillId="0" borderId="0" xfId="86" applyNumberFormat="1" applyFont="1" applyFill="1" applyProtection="1"/>
    <xf numFmtId="43" fontId="0" fillId="0" borderId="13" xfId="0" applyNumberFormat="1" applyBorder="1"/>
    <xf numFmtId="172" fontId="109" fillId="0" borderId="0" xfId="260" applyFont="1" applyProtection="1"/>
    <xf numFmtId="0" fontId="120" fillId="0" borderId="0" xfId="0" applyFont="1" applyAlignment="1">
      <alignment horizontal="center"/>
    </xf>
    <xf numFmtId="174" fontId="12" fillId="0" borderId="0" xfId="86" applyNumberFormat="1" applyFont="1" applyFill="1" applyProtection="1"/>
    <xf numFmtId="174" fontId="0" fillId="0" borderId="0" xfId="0" applyNumberFormat="1"/>
    <xf numFmtId="43" fontId="8" fillId="30" borderId="0" xfId="0" applyNumberFormat="1" applyFont="1" applyFill="1" applyProtection="1">
      <protection locked="0"/>
    </xf>
    <xf numFmtId="0" fontId="3" fillId="0" borderId="0" xfId="0" applyFont="1"/>
    <xf numFmtId="0" fontId="3" fillId="0" borderId="0" xfId="265" applyFont="1"/>
    <xf numFmtId="0" fontId="3" fillId="0" borderId="0" xfId="265" applyFont="1" applyAlignment="1">
      <alignment horizontal="right"/>
    </xf>
    <xf numFmtId="0" fontId="10" fillId="0" borderId="0" xfId="265" applyFont="1" applyAlignment="1">
      <alignment horizontal="center"/>
    </xf>
    <xf numFmtId="0" fontId="5" fillId="0" borderId="0" xfId="265" applyFont="1"/>
    <xf numFmtId="0" fontId="82" fillId="0" borderId="0" xfId="265" applyFont="1"/>
    <xf numFmtId="0" fontId="26" fillId="0" borderId="0" xfId="0" applyFont="1" applyAlignment="1">
      <alignment horizontal="center"/>
    </xf>
    <xf numFmtId="0" fontId="3" fillId="0" borderId="0" xfId="0" applyFont="1" applyAlignment="1">
      <alignment horizontal="right"/>
    </xf>
    <xf numFmtId="0" fontId="6" fillId="0" borderId="0" xfId="265" applyFont="1"/>
    <xf numFmtId="0" fontId="26" fillId="0" borderId="0" xfId="265" applyFont="1" applyAlignment="1">
      <alignment horizontal="center"/>
    </xf>
    <xf numFmtId="0" fontId="9" fillId="0" borderId="0" xfId="265" applyFont="1" applyAlignment="1">
      <alignment horizontal="center"/>
    </xf>
    <xf numFmtId="0" fontId="9" fillId="0" borderId="0" xfId="265" applyFont="1"/>
    <xf numFmtId="0" fontId="101" fillId="0" borderId="0" xfId="0" applyFont="1"/>
    <xf numFmtId="0" fontId="101" fillId="0" borderId="0" xfId="265" applyFont="1"/>
    <xf numFmtId="0" fontId="12" fillId="0" borderId="0" xfId="265" applyFont="1"/>
    <xf numFmtId="173" fontId="12" fillId="0" borderId="0" xfId="265" applyNumberFormat="1" applyFont="1"/>
    <xf numFmtId="172" fontId="12" fillId="0" borderId="0" xfId="265" applyNumberFormat="1" applyFont="1" applyAlignment="1">
      <alignment horizontal="center"/>
    </xf>
    <xf numFmtId="43" fontId="12" fillId="0" borderId="0" xfId="114" applyFont="1" applyFill="1" applyProtection="1"/>
    <xf numFmtId="0" fontId="94" fillId="0" borderId="0" xfId="265" applyFont="1"/>
    <xf numFmtId="185" fontId="12" fillId="0" borderId="0" xfId="0" applyNumberFormat="1" applyFont="1"/>
    <xf numFmtId="173" fontId="12" fillId="0" borderId="13" xfId="0" applyNumberFormat="1" applyFont="1" applyBorder="1"/>
    <xf numFmtId="173" fontId="12" fillId="0" borderId="13" xfId="265" applyNumberFormat="1" applyFont="1" applyBorder="1"/>
    <xf numFmtId="0" fontId="26" fillId="0" borderId="0" xfId="265" applyFont="1"/>
    <xf numFmtId="43" fontId="5" fillId="0" borderId="0" xfId="114" applyFont="1" applyFill="1" applyProtection="1"/>
    <xf numFmtId="173" fontId="5" fillId="0" borderId="0" xfId="265" applyNumberFormat="1" applyFont="1"/>
    <xf numFmtId="0" fontId="6" fillId="0" borderId="0" xfId="0" applyFont="1" applyAlignment="1">
      <alignment horizontal="center"/>
    </xf>
    <xf numFmtId="173" fontId="8" fillId="30" borderId="0" xfId="114" applyNumberFormat="1" applyFont="1" applyFill="1" applyProtection="1">
      <protection locked="0"/>
    </xf>
    <xf numFmtId="41" fontId="19" fillId="30" borderId="0" xfId="253" applyNumberFormat="1" applyFont="1" applyFill="1" applyProtection="1">
      <protection locked="0"/>
    </xf>
    <xf numFmtId="3" fontId="19" fillId="30" borderId="0" xfId="0" applyNumberFormat="1" applyFont="1" applyFill="1" applyProtection="1">
      <protection locked="0"/>
    </xf>
    <xf numFmtId="41" fontId="27" fillId="30" borderId="0" xfId="253" applyNumberFormat="1" applyFont="1" applyFill="1" applyProtection="1">
      <protection locked="0"/>
    </xf>
    <xf numFmtId="0" fontId="18" fillId="0" borderId="0" xfId="0" applyFont="1"/>
    <xf numFmtId="0" fontId="18" fillId="0" borderId="0" xfId="0" applyFont="1" applyAlignment="1">
      <alignment horizontal="right"/>
    </xf>
    <xf numFmtId="0" fontId="5" fillId="0" borderId="0" xfId="0" applyFont="1" applyAlignment="1">
      <alignment horizontal="center" wrapText="1"/>
    </xf>
    <xf numFmtId="37" fontId="5" fillId="0" borderId="0" xfId="0" applyNumberFormat="1" applyFont="1"/>
    <xf numFmtId="37" fontId="5" fillId="0" borderId="0" xfId="0" applyNumberFormat="1" applyFont="1" applyAlignment="1">
      <alignment horizontal="center"/>
    </xf>
    <xf numFmtId="0" fontId="15" fillId="0" borderId="0" xfId="0" applyFont="1"/>
    <xf numFmtId="10" fontId="5" fillId="0" borderId="0" xfId="0" applyNumberFormat="1" applyFont="1"/>
    <xf numFmtId="176" fontId="5" fillId="0" borderId="0" xfId="0" applyNumberFormat="1" applyFont="1"/>
    <xf numFmtId="10" fontId="5" fillId="0" borderId="14" xfId="0" applyNumberFormat="1" applyFont="1" applyBorder="1"/>
    <xf numFmtId="10" fontId="19" fillId="30" borderId="0" xfId="0" applyNumberFormat="1" applyFont="1" applyFill="1" applyProtection="1">
      <protection locked="0"/>
    </xf>
    <xf numFmtId="10" fontId="19" fillId="30" borderId="11" xfId="0" applyNumberFormat="1" applyFont="1" applyFill="1" applyBorder="1" applyProtection="1">
      <protection locked="0"/>
    </xf>
    <xf numFmtId="0" fontId="5" fillId="30" borderId="0" xfId="0" applyFont="1" applyFill="1" applyProtection="1">
      <protection locked="0"/>
    </xf>
    <xf numFmtId="0" fontId="5" fillId="0" borderId="0" xfId="261" applyFont="1"/>
    <xf numFmtId="0" fontId="9" fillId="0" borderId="0" xfId="261" applyFont="1"/>
    <xf numFmtId="0" fontId="74" fillId="0" borderId="11" xfId="261" applyFont="1" applyBorder="1" applyAlignment="1">
      <alignment horizontal="center"/>
    </xf>
    <xf numFmtId="0" fontId="9" fillId="0" borderId="0" xfId="261" applyFont="1" applyAlignment="1">
      <alignment horizontal="center"/>
    </xf>
    <xf numFmtId="185" fontId="72" fillId="0" borderId="0" xfId="261" applyNumberFormat="1" applyFont="1"/>
    <xf numFmtId="185" fontId="18" fillId="0" borderId="0" xfId="261" applyNumberFormat="1" applyFont="1"/>
    <xf numFmtId="173" fontId="5" fillId="0" borderId="0" xfId="261" applyNumberFormat="1" applyFont="1"/>
    <xf numFmtId="173" fontId="76" fillId="0" borderId="0" xfId="261" applyNumberFormat="1" applyFont="1"/>
    <xf numFmtId="185" fontId="5" fillId="0" borderId="0" xfId="261" applyNumberFormat="1" applyFont="1"/>
    <xf numFmtId="173" fontId="76" fillId="0" borderId="0" xfId="86" applyNumberFormat="1" applyFont="1" applyProtection="1"/>
    <xf numFmtId="0" fontId="116" fillId="0" borderId="0" xfId="260" applyNumberFormat="1" applyFont="1" applyProtection="1"/>
    <xf numFmtId="173" fontId="117" fillId="0" borderId="0" xfId="261" applyNumberFormat="1" applyFont="1"/>
    <xf numFmtId="185" fontId="118" fillId="0" borderId="0" xfId="261" applyNumberFormat="1" applyFont="1"/>
    <xf numFmtId="173" fontId="117" fillId="0" borderId="0" xfId="86" applyNumberFormat="1" applyFont="1" applyProtection="1"/>
    <xf numFmtId="173" fontId="99" fillId="0" borderId="0" xfId="261" applyNumberFormat="1" applyFont="1"/>
    <xf numFmtId="43" fontId="71" fillId="0" borderId="0" xfId="86" applyFont="1" applyProtection="1"/>
    <xf numFmtId="43" fontId="76" fillId="0" borderId="0" xfId="86" applyFont="1" applyProtection="1"/>
    <xf numFmtId="173" fontId="5" fillId="0" borderId="0" xfId="86" applyNumberFormat="1" applyFont="1" applyProtection="1"/>
    <xf numFmtId="173" fontId="71" fillId="0" borderId="14" xfId="86" applyNumberFormat="1" applyFont="1" applyBorder="1" applyProtection="1"/>
    <xf numFmtId="0" fontId="74" fillId="0" borderId="0" xfId="261" applyFont="1" applyAlignment="1">
      <alignment horizontal="center" wrapText="1"/>
    </xf>
    <xf numFmtId="0" fontId="79" fillId="0" borderId="0" xfId="261" applyFont="1" applyAlignment="1">
      <alignment horizontal="center"/>
    </xf>
    <xf numFmtId="41" fontId="99" fillId="0" borderId="0" xfId="261" applyNumberFormat="1" applyFont="1"/>
    <xf numFmtId="41" fontId="71" fillId="0" borderId="0" xfId="261" applyNumberFormat="1" applyFont="1"/>
    <xf numFmtId="10" fontId="71" fillId="0" borderId="0" xfId="272" applyNumberFormat="1" applyFont="1" applyFill="1" applyProtection="1"/>
    <xf numFmtId="164" fontId="71" fillId="0" borderId="0" xfId="272" applyNumberFormat="1" applyFont="1" applyFill="1" applyProtection="1"/>
    <xf numFmtId="187" fontId="12" fillId="0" borderId="0" xfId="272" applyNumberFormat="1" applyFont="1" applyFill="1" applyProtection="1"/>
    <xf numFmtId="41" fontId="84" fillId="28" borderId="0" xfId="261" applyNumberFormat="1" applyFont="1" applyFill="1"/>
    <xf numFmtId="10" fontId="71" fillId="0" borderId="11" xfId="272" applyNumberFormat="1" applyFont="1" applyFill="1" applyBorder="1" applyProtection="1"/>
    <xf numFmtId="173" fontId="71" fillId="0" borderId="0" xfId="86" applyNumberFormat="1" applyFont="1" applyFill="1" applyProtection="1"/>
    <xf numFmtId="10" fontId="71" fillId="0" borderId="0" xfId="272" applyNumberFormat="1" applyFont="1" applyFill="1" applyBorder="1" applyProtection="1"/>
    <xf numFmtId="173" fontId="71" fillId="0" borderId="0" xfId="86" applyNumberFormat="1" applyFont="1" applyFill="1" applyBorder="1" applyProtection="1"/>
    <xf numFmtId="173" fontId="12" fillId="0" borderId="0" xfId="261" applyNumberFormat="1" applyFont="1"/>
    <xf numFmtId="173" fontId="71" fillId="0" borderId="18" xfId="86" applyNumberFormat="1" applyFont="1" applyFill="1" applyBorder="1" applyProtection="1"/>
    <xf numFmtId="0" fontId="74" fillId="30" borderId="0" xfId="261" applyFont="1" applyFill="1" applyProtection="1">
      <protection locked="0"/>
    </xf>
    <xf numFmtId="0" fontId="99" fillId="30" borderId="0" xfId="261" applyFont="1" applyFill="1" applyProtection="1">
      <protection locked="0"/>
    </xf>
    <xf numFmtId="0" fontId="71" fillId="30" borderId="0" xfId="261" applyFont="1" applyFill="1" applyProtection="1">
      <protection locked="0"/>
    </xf>
    <xf numFmtId="10" fontId="78" fillId="30" borderId="11" xfId="272" applyNumberFormat="1" applyFont="1" applyFill="1" applyBorder="1" applyProtection="1">
      <protection locked="0"/>
    </xf>
    <xf numFmtId="173" fontId="78" fillId="30" borderId="0" xfId="261" applyNumberFormat="1" applyFont="1" applyFill="1" applyProtection="1">
      <protection locked="0"/>
    </xf>
    <xf numFmtId="0" fontId="11" fillId="0" borderId="0" xfId="0" applyFont="1"/>
    <xf numFmtId="0" fontId="18" fillId="0" borderId="0" xfId="0" applyFont="1" applyAlignment="1">
      <alignment horizontal="left"/>
    </xf>
    <xf numFmtId="0" fontId="66" fillId="0" borderId="0" xfId="0" applyFont="1"/>
    <xf numFmtId="0" fontId="0" fillId="0" borderId="0" xfId="0" applyAlignment="1">
      <alignment wrapText="1"/>
    </xf>
    <xf numFmtId="0" fontId="6" fillId="0" borderId="0" xfId="0" applyFont="1" applyAlignment="1">
      <alignment horizontal="left"/>
    </xf>
    <xf numFmtId="0" fontId="12" fillId="0" borderId="0" xfId="260" applyNumberFormat="1" applyFont="1" applyProtection="1"/>
    <xf numFmtId="3" fontId="12" fillId="0" borderId="0" xfId="260" applyNumberFormat="1" applyFont="1" applyProtection="1"/>
    <xf numFmtId="10" fontId="2" fillId="0" borderId="0" xfId="272" applyNumberFormat="1" applyAlignment="1" applyProtection="1">
      <alignment horizontal="right"/>
    </xf>
    <xf numFmtId="172" fontId="12" fillId="0" borderId="0" xfId="260" applyFont="1" applyProtection="1"/>
    <xf numFmtId="10" fontId="12" fillId="0" borderId="0" xfId="272" applyNumberFormat="1" applyFont="1" applyFill="1" applyAlignment="1" applyProtection="1">
      <alignment horizontal="right"/>
    </xf>
    <xf numFmtId="3" fontId="9" fillId="0" borderId="0" xfId="260" applyNumberFormat="1" applyFont="1" applyProtection="1"/>
    <xf numFmtId="10" fontId="12" fillId="0" borderId="0" xfId="260" applyNumberFormat="1" applyFont="1" applyAlignment="1" applyProtection="1">
      <alignment horizontal="right"/>
    </xf>
    <xf numFmtId="3" fontId="13" fillId="0" borderId="0" xfId="260" applyNumberFormat="1" applyFont="1" applyAlignment="1" applyProtection="1">
      <alignment horizontal="center"/>
    </xf>
    <xf numFmtId="10" fontId="13" fillId="0" borderId="0" xfId="260" applyNumberFormat="1" applyFont="1" applyAlignment="1" applyProtection="1">
      <alignment horizontal="center"/>
    </xf>
    <xf numFmtId="0" fontId="12" fillId="0" borderId="0" xfId="260" applyNumberFormat="1" applyFont="1" applyAlignment="1" applyProtection="1">
      <alignment horizontal="right"/>
    </xf>
    <xf numFmtId="10" fontId="0" fillId="0" borderId="0" xfId="0" applyNumberFormat="1" applyAlignment="1">
      <alignment horizontal="center"/>
    </xf>
    <xf numFmtId="164" fontId="12" fillId="0" borderId="0" xfId="272" applyNumberFormat="1" applyFont="1" applyAlignment="1" applyProtection="1"/>
    <xf numFmtId="166" fontId="12" fillId="0" borderId="0" xfId="260" applyNumberFormat="1" applyFont="1" applyAlignment="1" applyProtection="1">
      <alignment horizontal="center"/>
    </xf>
    <xf numFmtId="41" fontId="12" fillId="0" borderId="0" xfId="260" applyNumberFormat="1" applyFont="1" applyProtection="1"/>
    <xf numFmtId="41" fontId="12" fillId="0" borderId="0" xfId="260" applyNumberFormat="1" applyFont="1" applyAlignment="1" applyProtection="1">
      <alignment horizontal="center"/>
    </xf>
    <xf numFmtId="164" fontId="13" fillId="0" borderId="0" xfId="272" applyNumberFormat="1" applyFont="1" applyAlignment="1" applyProtection="1"/>
    <xf numFmtId="3" fontId="12" fillId="0" borderId="0" xfId="260" applyNumberFormat="1" applyFont="1" applyAlignment="1" applyProtection="1">
      <alignment horizontal="right"/>
    </xf>
    <xf numFmtId="172" fontId="2" fillId="0" borderId="19" xfId="260" applyFont="1" applyBorder="1" applyProtection="1"/>
    <xf numFmtId="0" fontId="2" fillId="0" borderId="0" xfId="260" applyNumberFormat="1" applyFont="1" applyAlignment="1" applyProtection="1">
      <alignment horizontal="center"/>
    </xf>
    <xf numFmtId="172" fontId="2" fillId="0" borderId="0" xfId="260" applyFont="1" applyProtection="1"/>
    <xf numFmtId="3" fontId="2" fillId="0" borderId="20" xfId="260" applyNumberFormat="1" applyFont="1" applyBorder="1" applyProtection="1"/>
    <xf numFmtId="10" fontId="12" fillId="0" borderId="0" xfId="260" applyNumberFormat="1" applyFont="1" applyAlignment="1" applyProtection="1">
      <alignment horizontal="left"/>
    </xf>
    <xf numFmtId="0" fontId="2" fillId="0" borderId="19" xfId="0" applyFont="1" applyBorder="1"/>
    <xf numFmtId="0" fontId="2" fillId="0" borderId="20" xfId="0" applyFont="1" applyBorder="1"/>
    <xf numFmtId="166" fontId="2" fillId="0" borderId="21" xfId="260" applyNumberFormat="1" applyFont="1" applyBorder="1" applyAlignment="1" applyProtection="1">
      <alignment horizontal="center"/>
    </xf>
    <xf numFmtId="0" fontId="2" fillId="0" borderId="6" xfId="260" applyNumberFormat="1" applyFont="1" applyBorder="1" applyAlignment="1" applyProtection="1">
      <alignment horizontal="center"/>
    </xf>
    <xf numFmtId="174" fontId="2" fillId="0" borderId="22" xfId="0" applyNumberFormat="1" applyFont="1" applyBorder="1"/>
    <xf numFmtId="41" fontId="2" fillId="0" borderId="0" xfId="260" applyNumberFormat="1" applyFont="1" applyProtection="1"/>
    <xf numFmtId="173" fontId="2" fillId="0" borderId="0" xfId="260" applyNumberFormat="1" applyFont="1" applyAlignment="1" applyProtection="1">
      <alignment horizontal="center"/>
    </xf>
    <xf numFmtId="41" fontId="12" fillId="0" borderId="0" xfId="260" applyNumberFormat="1" applyFont="1" applyAlignment="1" applyProtection="1">
      <alignment horizontal="left"/>
    </xf>
    <xf numFmtId="41" fontId="2" fillId="0" borderId="0" xfId="260" applyNumberFormat="1" applyFont="1" applyAlignment="1" applyProtection="1">
      <alignment horizontal="right"/>
    </xf>
    <xf numFmtId="167" fontId="12" fillId="0" borderId="0" xfId="260" applyNumberFormat="1" applyFont="1" applyProtection="1"/>
    <xf numFmtId="164" fontId="12" fillId="0" borderId="0" xfId="260" applyNumberFormat="1" applyFont="1" applyAlignment="1" applyProtection="1">
      <alignment horizontal="left"/>
    </xf>
    <xf numFmtId="3" fontId="12" fillId="0" borderId="0" xfId="260" applyNumberFormat="1" applyFont="1" applyAlignment="1" applyProtection="1">
      <alignment vertical="center" wrapText="1"/>
    </xf>
    <xf numFmtId="41" fontId="12" fillId="0" borderId="0" xfId="260" applyNumberFormat="1" applyFont="1" applyAlignment="1" applyProtection="1">
      <alignment vertical="center"/>
    </xf>
    <xf numFmtId="41" fontId="12" fillId="0" borderId="0" xfId="260" applyNumberFormat="1" applyFont="1" applyAlignment="1" applyProtection="1">
      <alignment horizontal="center" vertical="center"/>
    </xf>
    <xf numFmtId="41" fontId="12" fillId="0" borderId="0" xfId="260" applyNumberFormat="1" applyFont="1" applyAlignment="1" applyProtection="1">
      <alignment horizontal="right"/>
    </xf>
    <xf numFmtId="10" fontId="12" fillId="0" borderId="0" xfId="0" applyNumberFormat="1" applyFont="1"/>
    <xf numFmtId="173" fontId="12" fillId="0" borderId="0" xfId="86" applyNumberFormat="1" applyFont="1" applyProtection="1"/>
    <xf numFmtId="41" fontId="12" fillId="0" borderId="0" xfId="0" applyNumberFormat="1" applyFont="1"/>
    <xf numFmtId="41" fontId="12" fillId="0" borderId="6" xfId="260" applyNumberFormat="1" applyFont="1" applyBorder="1" applyProtection="1"/>
    <xf numFmtId="0" fontId="12" fillId="32" borderId="0" xfId="260" applyNumberFormat="1" applyFont="1" applyFill="1" applyProtection="1"/>
    <xf numFmtId="41" fontId="13" fillId="0" borderId="0" xfId="260" applyNumberFormat="1" applyFont="1" applyProtection="1"/>
    <xf numFmtId="3" fontId="12" fillId="0" borderId="0" xfId="260" applyNumberFormat="1" applyFont="1" applyAlignment="1" applyProtection="1">
      <alignment horizontal="center"/>
    </xf>
    <xf numFmtId="0" fontId="12" fillId="0" borderId="0" xfId="260" applyNumberFormat="1" applyFont="1" applyAlignment="1" applyProtection="1">
      <alignment horizontal="center"/>
    </xf>
    <xf numFmtId="10" fontId="12" fillId="0" borderId="0" xfId="260" applyNumberFormat="1" applyFont="1" applyProtection="1"/>
    <xf numFmtId="169" fontId="12" fillId="0" borderId="0" xfId="260" applyNumberFormat="1" applyFont="1" applyProtection="1"/>
    <xf numFmtId="169" fontId="9" fillId="0" borderId="0" xfId="260" applyNumberFormat="1" applyFont="1" applyProtection="1"/>
    <xf numFmtId="41" fontId="13" fillId="0" borderId="0" xfId="0" applyNumberFormat="1" applyFont="1"/>
    <xf numFmtId="4" fontId="12" fillId="0" borderId="0" xfId="260" applyNumberFormat="1" applyFont="1" applyProtection="1"/>
    <xf numFmtId="10" fontId="13" fillId="0" borderId="0" xfId="0" applyNumberFormat="1" applyFont="1"/>
    <xf numFmtId="173" fontId="12" fillId="0" borderId="0" xfId="86" applyNumberFormat="1" applyFont="1" applyBorder="1" applyProtection="1"/>
    <xf numFmtId="43" fontId="12" fillId="0" borderId="0" xfId="86" applyFont="1" applyProtection="1"/>
    <xf numFmtId="43" fontId="12" fillId="0" borderId="0" xfId="86" applyFont="1" applyFill="1" applyProtection="1"/>
    <xf numFmtId="173" fontId="12" fillId="0" borderId="0" xfId="0" applyNumberFormat="1" applyFont="1"/>
    <xf numFmtId="0" fontId="68" fillId="0" borderId="0" xfId="0" applyFont="1"/>
    <xf numFmtId="0" fontId="12" fillId="27" borderId="0" xfId="0" applyFont="1" applyFill="1"/>
    <xf numFmtId="0" fontId="9" fillId="0" borderId="23" xfId="0" applyFont="1" applyBorder="1"/>
    <xf numFmtId="0" fontId="9" fillId="0" borderId="17" xfId="0" applyFont="1" applyBorder="1"/>
    <xf numFmtId="0" fontId="12" fillId="0" borderId="17" xfId="0" applyFont="1" applyBorder="1"/>
    <xf numFmtId="173" fontId="9" fillId="0" borderId="24" xfId="86" applyNumberFormat="1" applyFont="1" applyBorder="1" applyProtection="1"/>
    <xf numFmtId="0" fontId="5" fillId="0" borderId="0" xfId="86" applyNumberFormat="1" applyFont="1" applyFill="1" applyAlignment="1" applyProtection="1">
      <alignment horizontal="left"/>
    </xf>
    <xf numFmtId="0" fontId="5" fillId="0" borderId="0" xfId="86" applyNumberFormat="1" applyFont="1" applyFill="1" applyBorder="1" applyAlignment="1" applyProtection="1">
      <alignment horizontal="left"/>
    </xf>
    <xf numFmtId="0" fontId="9" fillId="0" borderId="19" xfId="0" applyFont="1" applyBorder="1"/>
    <xf numFmtId="0" fontId="6" fillId="0" borderId="0" xfId="86" applyNumberFormat="1" applyFont="1" applyFill="1" applyBorder="1" applyAlignment="1" applyProtection="1">
      <alignment horizontal="left"/>
    </xf>
    <xf numFmtId="173" fontId="9" fillId="0" borderId="25" xfId="86" applyNumberFormat="1" applyFont="1" applyBorder="1" applyProtection="1"/>
    <xf numFmtId="0" fontId="9" fillId="0" borderId="0" xfId="0" applyFont="1"/>
    <xf numFmtId="173" fontId="9" fillId="0" borderId="21" xfId="86" applyNumberFormat="1" applyFont="1" applyBorder="1" applyProtection="1"/>
    <xf numFmtId="173" fontId="12" fillId="0" borderId="6" xfId="86" applyNumberFormat="1" applyFont="1" applyBorder="1" applyProtection="1"/>
    <xf numFmtId="173" fontId="12" fillId="0" borderId="22" xfId="86" applyNumberFormat="1" applyFont="1" applyBorder="1" applyProtection="1"/>
    <xf numFmtId="0" fontId="7" fillId="0" borderId="0" xfId="0" applyFont="1"/>
    <xf numFmtId="173" fontId="22" fillId="0" borderId="0" xfId="0" applyNumberFormat="1" applyFont="1" applyAlignment="1">
      <alignment horizontal="left"/>
    </xf>
    <xf numFmtId="0" fontId="12" fillId="0" borderId="0" xfId="0" applyFont="1" applyAlignment="1">
      <alignment wrapText="1"/>
    </xf>
    <xf numFmtId="0" fontId="12" fillId="0" borderId="26" xfId="0" applyFont="1" applyBorder="1" applyAlignment="1">
      <alignment horizontal="center"/>
    </xf>
    <xf numFmtId="0" fontId="0" fillId="0" borderId="27" xfId="0" applyBorder="1"/>
    <xf numFmtId="0" fontId="0" fillId="0" borderId="28" xfId="0" applyBorder="1"/>
    <xf numFmtId="0" fontId="12" fillId="0" borderId="19" xfId="0" applyFont="1" applyBorder="1"/>
    <xf numFmtId="0" fontId="9" fillId="0" borderId="24" xfId="0" applyFont="1" applyBorder="1" applyAlignment="1">
      <alignment horizontal="center"/>
    </xf>
    <xf numFmtId="173" fontId="12" fillId="0" borderId="0" xfId="0" applyNumberFormat="1" applyFont="1" applyAlignment="1">
      <alignment horizontal="right"/>
    </xf>
    <xf numFmtId="10" fontId="12" fillId="0" borderId="20" xfId="0" applyNumberFormat="1" applyFont="1" applyBorder="1"/>
    <xf numFmtId="173" fontId="12" fillId="0" borderId="20" xfId="0" applyNumberFormat="1" applyFont="1" applyBorder="1" applyAlignment="1">
      <alignment horizontal="right"/>
    </xf>
    <xf numFmtId="0" fontId="12" fillId="0" borderId="21" xfId="0" applyFont="1" applyBorder="1"/>
    <xf numFmtId="0" fontId="12" fillId="0" borderId="6" xfId="0" applyFont="1" applyBorder="1" applyAlignment="1">
      <alignment horizontal="center"/>
    </xf>
    <xf numFmtId="0" fontId="0" fillId="0" borderId="6" xfId="0" applyBorder="1"/>
    <xf numFmtId="0" fontId="9" fillId="0" borderId="29" xfId="0" applyFont="1" applyBorder="1" applyAlignment="1">
      <alignment horizontal="center" wrapText="1"/>
    </xf>
    <xf numFmtId="173" fontId="9" fillId="0" borderId="0" xfId="86" applyNumberFormat="1" applyFont="1" applyBorder="1" applyAlignment="1" applyProtection="1">
      <alignment horizontal="center" wrapText="1"/>
    </xf>
    <xf numFmtId="173" fontId="9" fillId="0" borderId="29" xfId="86" applyNumberFormat="1" applyFont="1" applyBorder="1" applyAlignment="1" applyProtection="1">
      <alignment horizontal="center" wrapText="1"/>
    </xf>
    <xf numFmtId="173" fontId="9" fillId="0" borderId="24" xfId="86" applyNumberFormat="1" applyFont="1" applyBorder="1" applyAlignment="1" applyProtection="1">
      <alignment horizontal="center" wrapText="1"/>
    </xf>
    <xf numFmtId="0" fontId="9" fillId="0" borderId="30" xfId="0" applyFont="1" applyBorder="1" applyAlignment="1">
      <alignment horizontal="center" wrapText="1"/>
    </xf>
    <xf numFmtId="173" fontId="9" fillId="29" borderId="29" xfId="86" applyNumberFormat="1" applyFont="1" applyFill="1" applyBorder="1" applyAlignment="1" applyProtection="1">
      <alignment horizontal="center" wrapText="1"/>
    </xf>
    <xf numFmtId="0" fontId="9" fillId="0" borderId="31" xfId="0" applyFont="1" applyBorder="1" applyAlignment="1">
      <alignment horizontal="center"/>
    </xf>
    <xf numFmtId="0" fontId="9" fillId="0" borderId="6" xfId="0" applyFont="1" applyBorder="1" applyAlignment="1">
      <alignment horizontal="center"/>
    </xf>
    <xf numFmtId="173" fontId="9" fillId="0" borderId="31" xfId="86" applyNumberFormat="1" applyFont="1" applyBorder="1" applyAlignment="1" applyProtection="1">
      <alignment horizontal="center"/>
    </xf>
    <xf numFmtId="173" fontId="9" fillId="0" borderId="22" xfId="86" applyNumberFormat="1" applyFont="1" applyBorder="1" applyAlignment="1" applyProtection="1">
      <alignment horizontal="center"/>
    </xf>
    <xf numFmtId="0" fontId="9" fillId="0" borderId="30" xfId="0" applyFont="1" applyBorder="1" applyAlignment="1">
      <alignment horizontal="center"/>
    </xf>
    <xf numFmtId="173" fontId="9" fillId="29" borderId="31" xfId="86" applyNumberFormat="1" applyFont="1" applyFill="1" applyBorder="1" applyAlignment="1" applyProtection="1">
      <alignment horizontal="center"/>
    </xf>
    <xf numFmtId="0" fontId="12" fillId="0" borderId="30" xfId="0" applyFont="1" applyBorder="1" applyAlignment="1">
      <alignment horizontal="center"/>
    </xf>
    <xf numFmtId="173" fontId="12" fillId="0" borderId="30" xfId="0" applyNumberFormat="1" applyFont="1" applyBorder="1"/>
    <xf numFmtId="173" fontId="12" fillId="0" borderId="30" xfId="86" applyNumberFormat="1" applyFont="1" applyFill="1" applyBorder="1" applyProtection="1"/>
    <xf numFmtId="173" fontId="12" fillId="0" borderId="20" xfId="86" applyNumberFormat="1" applyFont="1" applyFill="1" applyBorder="1" applyProtection="1"/>
    <xf numFmtId="174" fontId="12" fillId="0" borderId="30" xfId="0" applyNumberFormat="1" applyFont="1" applyBorder="1"/>
    <xf numFmtId="174" fontId="12" fillId="29" borderId="29" xfId="0" applyNumberFormat="1" applyFont="1" applyFill="1" applyBorder="1"/>
    <xf numFmtId="173" fontId="12" fillId="0" borderId="30" xfId="86" applyNumberFormat="1" applyFont="1" applyBorder="1" applyProtection="1"/>
    <xf numFmtId="173" fontId="12" fillId="0" borderId="20" xfId="86" applyNumberFormat="1" applyFont="1" applyBorder="1" applyProtection="1"/>
    <xf numFmtId="174" fontId="12" fillId="29" borderId="30" xfId="0" applyNumberFormat="1" applyFont="1" applyFill="1" applyBorder="1"/>
    <xf numFmtId="174" fontId="12" fillId="29" borderId="30" xfId="0" applyNumberFormat="1" applyFont="1" applyFill="1" applyBorder="1" applyAlignment="1">
      <alignment wrapText="1"/>
    </xf>
    <xf numFmtId="0" fontId="12" fillId="0" borderId="31" xfId="0" applyFont="1" applyBorder="1" applyAlignment="1">
      <alignment horizontal="center"/>
    </xf>
    <xf numFmtId="173" fontId="12" fillId="0" borderId="6" xfId="0" applyNumberFormat="1" applyFont="1" applyBorder="1"/>
    <xf numFmtId="173" fontId="12" fillId="0" borderId="31" xfId="0" applyNumberFormat="1" applyFont="1" applyBorder="1"/>
    <xf numFmtId="173" fontId="12" fillId="0" borderId="31" xfId="86" applyNumberFormat="1" applyFont="1" applyBorder="1" applyProtection="1"/>
    <xf numFmtId="174" fontId="12" fillId="0" borderId="31" xfId="0" applyNumberFormat="1" applyFont="1" applyBorder="1"/>
    <xf numFmtId="174" fontId="12" fillId="29" borderId="31" xfId="0" applyNumberFormat="1" applyFont="1" applyFill="1" applyBorder="1"/>
    <xf numFmtId="174" fontId="12" fillId="0" borderId="0" xfId="0" applyNumberFormat="1" applyFont="1"/>
    <xf numFmtId="0" fontId="8" fillId="30" borderId="0" xfId="86" applyNumberFormat="1" applyFont="1" applyFill="1" applyAlignment="1" applyProtection="1">
      <protection locked="0"/>
    </xf>
    <xf numFmtId="0" fontId="19" fillId="30" borderId="0" xfId="86" applyNumberFormat="1" applyFont="1" applyFill="1" applyAlignment="1" applyProtection="1">
      <alignment horizontal="left"/>
      <protection locked="0"/>
    </xf>
    <xf numFmtId="0" fontId="153" fillId="30" borderId="22" xfId="0" applyFont="1" applyFill="1" applyBorder="1" applyAlignment="1" applyProtection="1">
      <alignment horizontal="right"/>
      <protection locked="0"/>
    </xf>
    <xf numFmtId="173" fontId="153" fillId="30" borderId="20" xfId="86" applyNumberFormat="1" applyFont="1" applyFill="1" applyBorder="1" applyAlignment="1" applyProtection="1">
      <alignment horizontal="right"/>
      <protection locked="0"/>
    </xf>
    <xf numFmtId="0" fontId="153" fillId="30" borderId="20" xfId="0" applyFont="1" applyFill="1" applyBorder="1" applyAlignment="1" applyProtection="1">
      <alignment horizontal="right"/>
      <protection locked="0"/>
    </xf>
    <xf numFmtId="173" fontId="8" fillId="0" borderId="20" xfId="0" applyNumberFormat="1" applyFont="1" applyBorder="1" applyAlignment="1">
      <alignment horizontal="right"/>
    </xf>
    <xf numFmtId="174" fontId="8" fillId="30" borderId="29" xfId="0" applyNumberFormat="1" applyFont="1" applyFill="1" applyBorder="1" applyProtection="1">
      <protection locked="0"/>
    </xf>
    <xf numFmtId="174" fontId="8" fillId="30" borderId="30" xfId="0" applyNumberFormat="1" applyFont="1" applyFill="1" applyBorder="1" applyProtection="1">
      <protection locked="0"/>
    </xf>
    <xf numFmtId="174" fontId="8" fillId="30" borderId="31" xfId="0" applyNumberFormat="1" applyFont="1" applyFill="1" applyBorder="1" applyProtection="1">
      <protection locked="0"/>
    </xf>
    <xf numFmtId="10" fontId="0" fillId="0" borderId="0" xfId="272" applyNumberFormat="1" applyFont="1" applyAlignment="1" applyProtection="1">
      <alignment horizontal="right"/>
    </xf>
    <xf numFmtId="172" fontId="12" fillId="0" borderId="23" xfId="260" applyFont="1" applyBorder="1" applyProtection="1"/>
    <xf numFmtId="172" fontId="12" fillId="0" borderId="17" xfId="260" applyFont="1" applyBorder="1" applyProtection="1"/>
    <xf numFmtId="3" fontId="12" fillId="0" borderId="24" xfId="260" applyNumberFormat="1" applyFont="1" applyBorder="1" applyProtection="1"/>
    <xf numFmtId="172" fontId="12" fillId="0" borderId="19" xfId="260" applyFont="1" applyBorder="1" applyProtection="1"/>
    <xf numFmtId="3" fontId="12" fillId="0" borderId="20" xfId="260" applyNumberFormat="1" applyFont="1" applyBorder="1" applyProtection="1"/>
    <xf numFmtId="0" fontId="12" fillId="0" borderId="0" xfId="260" quotePrefix="1" applyNumberFormat="1" applyFont="1" applyAlignment="1" applyProtection="1">
      <alignment horizontal="center"/>
    </xf>
    <xf numFmtId="0" fontId="12" fillId="0" borderId="20" xfId="0" applyFont="1" applyBorder="1"/>
    <xf numFmtId="10" fontId="32" fillId="0" borderId="0" xfId="0" applyNumberFormat="1" applyFont="1" applyAlignment="1">
      <alignment horizontal="center"/>
    </xf>
    <xf numFmtId="174" fontId="12" fillId="0" borderId="20" xfId="0" applyNumberFormat="1" applyFont="1" applyBorder="1"/>
    <xf numFmtId="174" fontId="12" fillId="0" borderId="22" xfId="0" applyNumberFormat="1" applyFont="1" applyBorder="1"/>
    <xf numFmtId="173" fontId="12" fillId="0" borderId="24" xfId="0" applyNumberFormat="1" applyFont="1" applyBorder="1"/>
    <xf numFmtId="166" fontId="12" fillId="0" borderId="21" xfId="260" applyNumberFormat="1" applyFont="1" applyBorder="1" applyAlignment="1" applyProtection="1">
      <alignment horizontal="center"/>
    </xf>
    <xf numFmtId="0" fontId="12" fillId="0" borderId="6" xfId="260" applyNumberFormat="1" applyFont="1" applyBorder="1" applyAlignment="1" applyProtection="1">
      <alignment horizontal="center"/>
    </xf>
    <xf numFmtId="173" fontId="12" fillId="0" borderId="6" xfId="260" quotePrefix="1" applyNumberFormat="1" applyFont="1" applyBorder="1" applyAlignment="1" applyProtection="1">
      <alignment horizontal="center"/>
    </xf>
    <xf numFmtId="41" fontId="12" fillId="0" borderId="11" xfId="260" applyNumberFormat="1" applyFont="1" applyBorder="1" applyProtection="1"/>
    <xf numFmtId="10" fontId="12" fillId="0" borderId="0" xfId="272" applyNumberFormat="1" applyFont="1" applyFill="1" applyBorder="1" applyAlignment="1" applyProtection="1"/>
    <xf numFmtId="173" fontId="12" fillId="0" borderId="0" xfId="86" applyNumberFormat="1" applyFont="1" applyFill="1" applyBorder="1" applyProtection="1"/>
    <xf numFmtId="182" fontId="12" fillId="0" borderId="0" xfId="86" applyNumberFormat="1" applyFont="1" applyProtection="1"/>
    <xf numFmtId="0" fontId="9" fillId="0" borderId="23" xfId="0" applyFont="1" applyBorder="1" applyAlignment="1">
      <alignment horizontal="center"/>
    </xf>
    <xf numFmtId="173" fontId="12" fillId="0" borderId="19" xfId="86" applyNumberFormat="1" applyFont="1" applyBorder="1" applyProtection="1"/>
    <xf numFmtId="173" fontId="9" fillId="0" borderId="0" xfId="86" applyNumberFormat="1" applyFont="1" applyBorder="1" applyProtection="1"/>
    <xf numFmtId="173" fontId="12" fillId="0" borderId="20" xfId="0" applyNumberFormat="1" applyFont="1" applyBorder="1"/>
    <xf numFmtId="173" fontId="9" fillId="0" borderId="11" xfId="86" applyNumberFormat="1" applyFont="1" applyBorder="1" applyProtection="1"/>
    <xf numFmtId="173" fontId="12" fillId="0" borderId="25" xfId="0" applyNumberFormat="1" applyFont="1" applyBorder="1"/>
    <xf numFmtId="173" fontId="9" fillId="0" borderId="6" xfId="86" applyNumberFormat="1" applyFont="1" applyFill="1" applyBorder="1" applyAlignment="1" applyProtection="1">
      <alignment horizontal="left"/>
    </xf>
    <xf numFmtId="173" fontId="9" fillId="0" borderId="22" xfId="86" applyNumberFormat="1" applyFont="1" applyFill="1" applyBorder="1" applyAlignment="1" applyProtection="1">
      <alignment horizontal="left"/>
    </xf>
    <xf numFmtId="173" fontId="12" fillId="0" borderId="29" xfId="0" applyNumberFormat="1" applyFont="1" applyBorder="1"/>
    <xf numFmtId="174" fontId="12" fillId="0" borderId="29" xfId="0" applyNumberFormat="1" applyFont="1" applyBorder="1"/>
    <xf numFmtId="0" fontId="90" fillId="0" borderId="0" xfId="253" applyFont="1"/>
    <xf numFmtId="173" fontId="8" fillId="30" borderId="0" xfId="86" applyNumberFormat="1" applyFont="1" applyFill="1" applyBorder="1" applyProtection="1">
      <protection locked="0"/>
    </xf>
    <xf numFmtId="10" fontId="8" fillId="30" borderId="0" xfId="272" applyNumberFormat="1" applyFont="1" applyFill="1" applyAlignment="1" applyProtection="1">
      <alignment horizontal="right" wrapText="1"/>
      <protection locked="0"/>
    </xf>
    <xf numFmtId="44" fontId="8" fillId="30" borderId="0" xfId="117" applyFont="1" applyFill="1" applyAlignment="1" applyProtection="1">
      <alignment horizontal="right" wrapText="1"/>
      <protection locked="0"/>
    </xf>
    <xf numFmtId="173" fontId="20" fillId="30" borderId="0" xfId="86" applyNumberFormat="1" applyFont="1" applyFill="1" applyProtection="1">
      <protection locked="0"/>
    </xf>
    <xf numFmtId="191" fontId="20" fillId="30" borderId="0" xfId="0" applyNumberFormat="1" applyFont="1" applyFill="1" applyProtection="1">
      <protection locked="0"/>
    </xf>
    <xf numFmtId="0" fontId="0" fillId="30" borderId="0" xfId="0" applyFill="1" applyAlignment="1" applyProtection="1">
      <alignment horizontal="center"/>
      <protection locked="0"/>
    </xf>
    <xf numFmtId="0" fontId="20" fillId="30" borderId="0" xfId="0" applyFont="1" applyFill="1" applyProtection="1">
      <protection locked="0"/>
    </xf>
    <xf numFmtId="0" fontId="102" fillId="0" borderId="0" xfId="263" applyFont="1"/>
    <xf numFmtId="0" fontId="3" fillId="0" borderId="0" xfId="263"/>
    <xf numFmtId="0" fontId="103" fillId="0" borderId="0" xfId="263" applyFont="1"/>
    <xf numFmtId="0" fontId="104" fillId="0" borderId="0" xfId="263" applyFont="1" applyAlignment="1">
      <alignment horizontal="center"/>
    </xf>
    <xf numFmtId="0" fontId="113" fillId="0" borderId="0" xfId="263" applyFont="1" applyAlignment="1">
      <alignment horizontal="center"/>
    </xf>
    <xf numFmtId="0" fontId="3" fillId="0" borderId="0" xfId="263" applyAlignment="1">
      <alignment horizontal="center"/>
    </xf>
    <xf numFmtId="0" fontId="105" fillId="0" borderId="15" xfId="263" applyFont="1" applyBorder="1"/>
    <xf numFmtId="0" fontId="103" fillId="0" borderId="15" xfId="263" applyFont="1" applyBorder="1"/>
    <xf numFmtId="0" fontId="105" fillId="0" borderId="0" xfId="263" applyFont="1"/>
    <xf numFmtId="0" fontId="3" fillId="0" borderId="32" xfId="263" applyBorder="1"/>
    <xf numFmtId="3" fontId="3" fillId="0" borderId="0" xfId="263" applyNumberFormat="1"/>
    <xf numFmtId="3" fontId="3" fillId="0" borderId="33" xfId="263" applyNumberFormat="1" applyBorder="1"/>
    <xf numFmtId="0" fontId="5" fillId="0" borderId="32" xfId="263" applyFont="1" applyBorder="1"/>
    <xf numFmtId="0" fontId="12" fillId="0" borderId="0" xfId="267" applyFont="1"/>
    <xf numFmtId="0" fontId="9" fillId="0" borderId="0" xfId="267" applyFont="1" applyAlignment="1">
      <alignment horizontal="center" wrapText="1"/>
    </xf>
    <xf numFmtId="173" fontId="12" fillId="0" borderId="11" xfId="86" applyNumberFormat="1" applyFont="1" applyFill="1" applyBorder="1" applyAlignment="1" applyProtection="1"/>
    <xf numFmtId="173" fontId="12" fillId="0" borderId="0" xfId="86" applyNumberFormat="1" applyFont="1" applyFill="1" applyBorder="1" applyAlignment="1" applyProtection="1"/>
    <xf numFmtId="0" fontId="12" fillId="0" borderId="0" xfId="253" applyFont="1" applyAlignment="1">
      <alignment horizontal="left" vertical="top" wrapText="1"/>
    </xf>
    <xf numFmtId="0" fontId="110" fillId="0" borderId="0" xfId="267"/>
    <xf numFmtId="0" fontId="9" fillId="0" borderId="0" xfId="267" applyFont="1"/>
    <xf numFmtId="173" fontId="12" fillId="0" borderId="0" xfId="267" applyNumberFormat="1" applyFont="1"/>
    <xf numFmtId="0" fontId="12" fillId="0" borderId="0" xfId="267" applyFont="1" applyAlignment="1">
      <alignment vertical="top" wrapText="1"/>
    </xf>
    <xf numFmtId="10" fontId="12" fillId="0" borderId="0" xfId="267" applyNumberFormat="1" applyFont="1"/>
    <xf numFmtId="44" fontId="12" fillId="0" borderId="0" xfId="267" applyNumberFormat="1" applyFont="1"/>
    <xf numFmtId="0" fontId="114" fillId="0" borderId="0" xfId="267" applyFont="1"/>
    <xf numFmtId="173" fontId="12" fillId="0" borderId="11" xfId="267" applyNumberFormat="1" applyFont="1" applyBorder="1"/>
    <xf numFmtId="10" fontId="12" fillId="0" borderId="0" xfId="272" applyNumberFormat="1" applyFont="1" applyProtection="1"/>
    <xf numFmtId="10" fontId="12" fillId="0" borderId="0" xfId="272" applyNumberFormat="1" applyFont="1" applyFill="1" applyProtection="1"/>
    <xf numFmtId="10" fontId="12" fillId="32" borderId="0" xfId="272" applyNumberFormat="1" applyFont="1" applyFill="1" applyProtection="1"/>
    <xf numFmtId="10" fontId="12" fillId="0" borderId="11" xfId="272" applyNumberFormat="1" applyFont="1" applyBorder="1" applyProtection="1"/>
    <xf numFmtId="10" fontId="9" fillId="0" borderId="0" xfId="272" applyNumberFormat="1" applyFont="1" applyProtection="1"/>
    <xf numFmtId="173" fontId="12" fillId="0" borderId="11" xfId="86" applyNumberFormat="1" applyFont="1" applyFill="1" applyBorder="1" applyProtection="1"/>
    <xf numFmtId="0" fontId="115" fillId="0" borderId="0" xfId="267" applyFont="1"/>
    <xf numFmtId="0" fontId="94" fillId="0" borderId="0" xfId="267" applyFont="1"/>
    <xf numFmtId="43" fontId="12" fillId="0" borderId="0" xfId="267" applyNumberFormat="1" applyFont="1"/>
    <xf numFmtId="10" fontId="12" fillId="0" borderId="11" xfId="272" applyNumberFormat="1" applyFont="1" applyFill="1" applyBorder="1" applyProtection="1"/>
    <xf numFmtId="10" fontId="94" fillId="0" borderId="0" xfId="272" applyNumberFormat="1" applyFont="1" applyFill="1" applyProtection="1"/>
    <xf numFmtId="10" fontId="12" fillId="30" borderId="0" xfId="272" applyNumberFormat="1" applyFont="1" applyFill="1" applyAlignment="1" applyProtection="1">
      <alignment horizontal="right" wrapText="1"/>
      <protection locked="0"/>
    </xf>
    <xf numFmtId="164" fontId="8" fillId="30" borderId="0" xfId="272" applyNumberFormat="1" applyFont="1" applyFill="1" applyAlignment="1" applyProtection="1">
      <alignment horizontal="right" wrapText="1"/>
      <protection locked="0"/>
    </xf>
    <xf numFmtId="44" fontId="12" fillId="30" borderId="0" xfId="117" applyFont="1" applyFill="1" applyAlignment="1" applyProtection="1">
      <alignment horizontal="right" wrapText="1"/>
      <protection locked="0"/>
    </xf>
    <xf numFmtId="173" fontId="12" fillId="30" borderId="0" xfId="86" applyNumberFormat="1" applyFont="1" applyFill="1" applyProtection="1">
      <protection locked="0"/>
    </xf>
    <xf numFmtId="173" fontId="2" fillId="30" borderId="6" xfId="260" applyNumberFormat="1" applyFont="1" applyFill="1" applyBorder="1" applyAlignment="1" applyProtection="1">
      <alignment horizontal="center"/>
      <protection locked="0"/>
    </xf>
    <xf numFmtId="174" fontId="153" fillId="30" borderId="0" xfId="0" applyNumberFormat="1" applyFont="1" applyFill="1" applyProtection="1">
      <protection locked="0"/>
    </xf>
    <xf numFmtId="174" fontId="12" fillId="30" borderId="6" xfId="0" applyNumberFormat="1" applyFont="1" applyFill="1" applyBorder="1" applyProtection="1">
      <protection locked="0"/>
    </xf>
    <xf numFmtId="41" fontId="12" fillId="32" borderId="0" xfId="260" applyNumberFormat="1" applyFont="1" applyFill="1" applyProtection="1"/>
    <xf numFmtId="41" fontId="12" fillId="32" borderId="0" xfId="260" applyNumberFormat="1" applyFont="1" applyFill="1" applyAlignment="1" applyProtection="1">
      <alignment horizontal="center"/>
    </xf>
    <xf numFmtId="41" fontId="12" fillId="32" borderId="0" xfId="0" applyNumberFormat="1" applyFont="1" applyFill="1"/>
    <xf numFmtId="173" fontId="12" fillId="32" borderId="0" xfId="86" applyNumberFormat="1" applyFont="1" applyFill="1" applyProtection="1"/>
    <xf numFmtId="10" fontId="12" fillId="32" borderId="0" xfId="0" applyNumberFormat="1" applyFont="1" applyFill="1"/>
    <xf numFmtId="10" fontId="13" fillId="32" borderId="0" xfId="0" applyNumberFormat="1" applyFont="1" applyFill="1"/>
    <xf numFmtId="3" fontId="5" fillId="30" borderId="0" xfId="0" applyNumberFormat="1" applyFont="1" applyFill="1" applyAlignment="1" applyProtection="1">
      <alignment horizontal="center"/>
      <protection locked="0"/>
    </xf>
    <xf numFmtId="0" fontId="15" fillId="30" borderId="0" xfId="253" applyFont="1" applyFill="1" applyAlignment="1" applyProtection="1">
      <alignment horizontal="left"/>
      <protection locked="0"/>
    </xf>
    <xf numFmtId="0" fontId="15" fillId="30" borderId="0" xfId="253" applyFont="1" applyFill="1" applyProtection="1">
      <protection locked="0"/>
    </xf>
    <xf numFmtId="0" fontId="10" fillId="30" borderId="0" xfId="253" applyFont="1" applyFill="1" applyAlignment="1" applyProtection="1">
      <alignment horizontal="center"/>
      <protection locked="0"/>
    </xf>
    <xf numFmtId="3" fontId="63" fillId="30" borderId="0" xfId="0" applyNumberFormat="1" applyFont="1" applyFill="1" applyProtection="1">
      <protection locked="0"/>
    </xf>
    <xf numFmtId="3" fontId="63" fillId="30" borderId="0" xfId="0" quotePrefix="1" applyNumberFormat="1" applyFont="1" applyFill="1" applyProtection="1">
      <protection locked="0"/>
    </xf>
    <xf numFmtId="3" fontId="125" fillId="30" borderId="0" xfId="0" applyNumberFormat="1" applyFont="1" applyFill="1" applyProtection="1">
      <protection locked="0"/>
    </xf>
    <xf numFmtId="41" fontId="125" fillId="30" borderId="0" xfId="253" applyNumberFormat="1" applyFont="1" applyFill="1" applyProtection="1">
      <protection locked="0"/>
    </xf>
    <xf numFmtId="0" fontId="63" fillId="0" borderId="0" xfId="253" applyFont="1" applyAlignment="1">
      <alignment horizontal="center"/>
    </xf>
    <xf numFmtId="0" fontId="63" fillId="0" borderId="0" xfId="253" applyFont="1"/>
    <xf numFmtId="41" fontId="63" fillId="0" borderId="0" xfId="253" applyNumberFormat="1" applyFont="1"/>
    <xf numFmtId="41" fontId="125" fillId="30" borderId="11" xfId="253" applyNumberFormat="1" applyFont="1" applyFill="1" applyBorder="1" applyProtection="1">
      <protection locked="0"/>
    </xf>
    <xf numFmtId="0" fontId="63" fillId="0" borderId="0" xfId="0" applyFont="1"/>
    <xf numFmtId="173" fontId="63" fillId="0" borderId="0" xfId="86" applyNumberFormat="1" applyFont="1" applyFill="1"/>
    <xf numFmtId="173" fontId="126" fillId="0" borderId="0" xfId="86" applyNumberFormat="1" applyFont="1" applyFill="1"/>
    <xf numFmtId="38" fontId="63" fillId="0" borderId="0" xfId="0" applyNumberFormat="1" applyFont="1"/>
    <xf numFmtId="0" fontId="63" fillId="0" borderId="0" xfId="211" applyFont="1" applyAlignment="1">
      <alignment horizontal="center"/>
    </xf>
    <xf numFmtId="0" fontId="63" fillId="0" borderId="0" xfId="211" applyFont="1"/>
    <xf numFmtId="0" fontId="63" fillId="0" borderId="0" xfId="253" applyFont="1" applyAlignment="1">
      <alignment horizontal="left"/>
    </xf>
    <xf numFmtId="3" fontId="63" fillId="0" borderId="0" xfId="211" applyNumberFormat="1" applyFont="1"/>
    <xf numFmtId="38" fontId="63" fillId="0" borderId="0" xfId="0" applyNumberFormat="1" applyFont="1" applyAlignment="1">
      <alignment horizontal="center"/>
    </xf>
    <xf numFmtId="0" fontId="127" fillId="0" borderId="0" xfId="253" applyFont="1" applyAlignment="1">
      <alignment horizontal="center"/>
    </xf>
    <xf numFmtId="0" fontId="40" fillId="0" borderId="0" xfId="253" applyFont="1" applyAlignment="1">
      <alignment horizontal="center"/>
    </xf>
    <xf numFmtId="9" fontId="40" fillId="0" borderId="0" xfId="253" applyNumberFormat="1" applyFont="1" applyAlignment="1">
      <alignment horizontal="center"/>
    </xf>
    <xf numFmtId="0" fontId="40" fillId="0" borderId="0" xfId="253" applyFont="1"/>
    <xf numFmtId="0" fontId="40" fillId="0" borderId="0" xfId="253" applyFont="1" applyAlignment="1">
      <alignment horizontal="center" wrapText="1"/>
    </xf>
    <xf numFmtId="0" fontId="127" fillId="0" borderId="0" xfId="253" applyFont="1" applyAlignment="1">
      <alignment horizontal="right"/>
    </xf>
    <xf numFmtId="0" fontId="63" fillId="0" borderId="0" xfId="0" applyFont="1" applyAlignment="1">
      <alignment horizontal="center" wrapText="1"/>
    </xf>
    <xf numFmtId="0" fontId="40" fillId="0" borderId="11" xfId="253" applyFont="1" applyBorder="1" applyAlignment="1">
      <alignment horizontal="center"/>
    </xf>
    <xf numFmtId="173" fontId="154" fillId="30" borderId="0" xfId="86" applyNumberFormat="1" applyFont="1" applyFill="1"/>
    <xf numFmtId="173" fontId="12" fillId="0" borderId="30" xfId="98" applyNumberFormat="1" applyFont="1" applyFill="1" applyBorder="1" applyProtection="1"/>
    <xf numFmtId="173" fontId="12" fillId="0" borderId="20" xfId="98" applyNumberFormat="1" applyFont="1" applyFill="1" applyBorder="1" applyProtection="1"/>
    <xf numFmtId="0" fontId="12" fillId="0" borderId="0" xfId="0" applyFont="1" applyAlignment="1">
      <alignment vertical="top" wrapText="1"/>
    </xf>
    <xf numFmtId="0" fontId="9" fillId="0" borderId="0" xfId="266" applyFont="1" applyAlignment="1">
      <alignment horizontal="center"/>
    </xf>
    <xf numFmtId="43" fontId="12" fillId="0" borderId="0" xfId="115" applyFont="1" applyFill="1" applyProtection="1"/>
    <xf numFmtId="173" fontId="8" fillId="30" borderId="0" xfId="115" applyNumberFormat="1" applyFont="1" applyFill="1" applyProtection="1">
      <protection locked="0"/>
    </xf>
    <xf numFmtId="173" fontId="12" fillId="0" borderId="0" xfId="266" applyNumberFormat="1" applyFont="1"/>
    <xf numFmtId="0" fontId="130" fillId="0" borderId="0" xfId="0" applyFont="1" applyAlignment="1">
      <alignment vertical="center"/>
    </xf>
    <xf numFmtId="0" fontId="71" fillId="0" borderId="11" xfId="261" applyFont="1" applyBorder="1" applyAlignment="1">
      <alignment horizontal="center"/>
    </xf>
    <xf numFmtId="173" fontId="78" fillId="30" borderId="11" xfId="261" applyNumberFormat="1" applyFont="1" applyFill="1" applyBorder="1" applyProtection="1">
      <protection locked="0"/>
    </xf>
    <xf numFmtId="173" fontId="78" fillId="0" borderId="11" xfId="261" applyNumberFormat="1" applyFont="1" applyBorder="1"/>
    <xf numFmtId="0" fontId="71" fillId="0" borderId="11" xfId="261" applyFont="1" applyBorder="1"/>
    <xf numFmtId="0" fontId="12" fillId="0" borderId="11" xfId="261" applyFont="1" applyBorder="1"/>
    <xf numFmtId="0" fontId="18" fillId="0" borderId="11" xfId="261" applyFont="1" applyBorder="1"/>
    <xf numFmtId="173" fontId="89" fillId="0" borderId="11" xfId="261" applyNumberFormat="1" applyFont="1" applyBorder="1"/>
    <xf numFmtId="173" fontId="71" fillId="0" borderId="0" xfId="261" applyNumberFormat="1" applyFont="1" applyProtection="1">
      <protection locked="0"/>
    </xf>
    <xf numFmtId="9" fontId="78" fillId="30" borderId="0" xfId="272" applyFont="1" applyFill="1" applyBorder="1" applyProtection="1">
      <protection locked="0"/>
    </xf>
    <xf numFmtId="173" fontId="78" fillId="30" borderId="0" xfId="261" applyNumberFormat="1" applyFont="1" applyFill="1" applyAlignment="1" applyProtection="1">
      <alignment horizontal="center"/>
      <protection locked="0"/>
    </xf>
    <xf numFmtId="0" fontId="12" fillId="0" borderId="0" xfId="166"/>
    <xf numFmtId="0" fontId="12" fillId="0" borderId="0" xfId="166" applyAlignment="1">
      <alignment horizontal="center"/>
    </xf>
    <xf numFmtId="41" fontId="8" fillId="30" borderId="0" xfId="254" applyNumberFormat="1" applyFont="1" applyFill="1" applyProtection="1">
      <protection locked="0"/>
    </xf>
    <xf numFmtId="0" fontId="9" fillId="0" borderId="0" xfId="166" applyFont="1" applyAlignment="1">
      <alignment horizontal="left"/>
    </xf>
    <xf numFmtId="3" fontId="12" fillId="0" borderId="0" xfId="166" applyNumberFormat="1"/>
    <xf numFmtId="0" fontId="13" fillId="0" borderId="0" xfId="166" applyFont="1" applyAlignment="1">
      <alignment horizontal="center"/>
    </xf>
    <xf numFmtId="3" fontId="12" fillId="0" borderId="0" xfId="166" applyNumberFormat="1" applyAlignment="1">
      <alignment horizontal="centerContinuous"/>
    </xf>
    <xf numFmtId="3" fontId="13" fillId="0" borderId="0" xfId="166" applyNumberFormat="1" applyFont="1" applyAlignment="1">
      <alignment horizontal="centerContinuous"/>
    </xf>
    <xf numFmtId="3" fontId="12" fillId="0" borderId="34" xfId="166" applyNumberFormat="1" applyBorder="1"/>
    <xf numFmtId="3" fontId="12" fillId="0" borderId="0" xfId="166" applyNumberFormat="1" applyAlignment="1">
      <alignment horizontal="left"/>
    </xf>
    <xf numFmtId="37" fontId="12" fillId="0" borderId="0" xfId="166" applyNumberFormat="1"/>
    <xf numFmtId="37" fontId="12" fillId="0" borderId="0" xfId="166" applyNumberFormat="1" applyAlignment="1">
      <alignment horizontal="center"/>
    </xf>
    <xf numFmtId="37" fontId="12" fillId="0" borderId="34" xfId="166" applyNumberFormat="1" applyBorder="1"/>
    <xf numFmtId="37" fontId="12" fillId="0" borderId="35" xfId="166" applyNumberFormat="1" applyBorder="1"/>
    <xf numFmtId="37" fontId="12" fillId="33" borderId="0" xfId="166" applyNumberFormat="1" applyFill="1"/>
    <xf numFmtId="37" fontId="12" fillId="0" borderId="36" xfId="166" applyNumberFormat="1" applyBorder="1"/>
    <xf numFmtId="3" fontId="12" fillId="0" borderId="0" xfId="166" applyNumberFormat="1" applyAlignment="1" applyProtection="1">
      <alignment horizontal="center"/>
      <protection locked="0"/>
    </xf>
    <xf numFmtId="3" fontId="12" fillId="0" borderId="0" xfId="166" applyNumberFormat="1" applyAlignment="1">
      <alignment horizontal="center"/>
    </xf>
    <xf numFmtId="3" fontId="12" fillId="0" borderId="0" xfId="166" applyNumberFormat="1" applyProtection="1">
      <protection locked="0"/>
    </xf>
    <xf numFmtId="0" fontId="12" fillId="0" borderId="0" xfId="166" applyAlignment="1">
      <alignment horizontal="left"/>
    </xf>
    <xf numFmtId="37" fontId="12" fillId="0" borderId="14" xfId="166" applyNumberFormat="1" applyBorder="1"/>
    <xf numFmtId="37" fontId="155" fillId="0" borderId="35" xfId="166" applyNumberFormat="1" applyFont="1" applyBorder="1"/>
    <xf numFmtId="37" fontId="155" fillId="0" borderId="0" xfId="166" applyNumberFormat="1" applyFont="1"/>
    <xf numFmtId="4" fontId="12" fillId="0" borderId="0" xfId="166" applyNumberFormat="1" applyAlignment="1">
      <alignment horizontal="center"/>
    </xf>
    <xf numFmtId="196" fontId="8" fillId="30" borderId="0" xfId="254" applyNumberFormat="1" applyFont="1" applyFill="1" applyProtection="1">
      <protection locked="0"/>
    </xf>
    <xf numFmtId="0" fontId="152" fillId="0" borderId="0" xfId="166" applyFont="1" applyAlignment="1">
      <alignment horizontal="left"/>
    </xf>
    <xf numFmtId="3" fontId="12" fillId="34" borderId="0" xfId="166" applyNumberFormat="1" applyFill="1"/>
    <xf numFmtId="0" fontId="12" fillId="34" borderId="0" xfId="166" applyFill="1"/>
    <xf numFmtId="3" fontId="12" fillId="34" borderId="0" xfId="166" applyNumberFormat="1" applyFill="1" applyAlignment="1" applyProtection="1">
      <alignment horizontal="center"/>
      <protection locked="0"/>
    </xf>
    <xf numFmtId="0" fontId="12" fillId="34" borderId="0" xfId="166" applyFill="1" applyAlignment="1">
      <alignment horizontal="center"/>
    </xf>
    <xf numFmtId="0" fontId="13" fillId="34" borderId="0" xfId="166" applyFont="1" applyFill="1" applyAlignment="1">
      <alignment horizontal="center"/>
    </xf>
    <xf numFmtId="41" fontId="8" fillId="30" borderId="0" xfId="255" applyNumberFormat="1" applyFont="1" applyFill="1"/>
    <xf numFmtId="3" fontId="9" fillId="0" borderId="0" xfId="166" applyNumberFormat="1" applyFont="1" applyAlignment="1">
      <alignment horizontal="left"/>
    </xf>
    <xf numFmtId="196" fontId="8" fillId="30" borderId="0" xfId="255" applyNumberFormat="1" applyFont="1" applyFill="1" applyProtection="1">
      <protection locked="0"/>
    </xf>
    <xf numFmtId="0" fontId="18" fillId="0" borderId="11" xfId="261" applyFont="1" applyBorder="1" applyAlignment="1">
      <alignment horizontal="center"/>
    </xf>
    <xf numFmtId="173" fontId="71" fillId="0" borderId="11" xfId="261" applyNumberFormat="1" applyFont="1" applyBorder="1"/>
    <xf numFmtId="0" fontId="12" fillId="0" borderId="0" xfId="0" applyFont="1" applyAlignment="1">
      <alignment horizontal="right"/>
    </xf>
    <xf numFmtId="0" fontId="9" fillId="0" borderId="0" xfId="264" applyFont="1" applyAlignment="1">
      <alignment horizontal="centerContinuous"/>
    </xf>
    <xf numFmtId="0" fontId="12" fillId="0" borderId="0" xfId="264" applyAlignment="1">
      <alignment horizontal="left"/>
    </xf>
    <xf numFmtId="0" fontId="9" fillId="0" borderId="0" xfId="264" applyFont="1" applyAlignment="1">
      <alignment horizontal="center"/>
    </xf>
    <xf numFmtId="0" fontId="9" fillId="0" borderId="0" xfId="264" applyFont="1" applyAlignment="1">
      <alignment wrapText="1"/>
    </xf>
    <xf numFmtId="0" fontId="12" fillId="0" borderId="37" xfId="0" applyFont="1" applyBorder="1" applyAlignment="1">
      <alignment horizontal="center" wrapText="1"/>
    </xf>
    <xf numFmtId="0" fontId="9" fillId="0" borderId="38" xfId="264" applyFont="1" applyBorder="1" applyAlignment="1">
      <alignment horizontal="center" wrapText="1"/>
    </xf>
    <xf numFmtId="0" fontId="9" fillId="0" borderId="0" xfId="264" applyFont="1" applyAlignment="1">
      <alignment horizontal="center" wrapText="1"/>
    </xf>
    <xf numFmtId="0" fontId="12" fillId="0" borderId="32" xfId="0" applyFont="1" applyBorder="1" applyAlignment="1">
      <alignment horizontal="center"/>
    </xf>
    <xf numFmtId="0" fontId="9" fillId="0" borderId="33" xfId="264" applyFont="1" applyBorder="1" applyAlignment="1">
      <alignment horizontal="center"/>
    </xf>
    <xf numFmtId="0" fontId="132" fillId="0" borderId="0" xfId="0" applyFont="1"/>
    <xf numFmtId="3" fontId="24" fillId="0" borderId="11" xfId="211" applyNumberFormat="1" applyFont="1" applyBorder="1" applyAlignment="1">
      <alignment horizontal="center" wrapText="1"/>
    </xf>
    <xf numFmtId="0" fontId="12" fillId="0" borderId="33" xfId="264" quotePrefix="1" applyBorder="1" applyAlignment="1">
      <alignment horizontal="left"/>
    </xf>
    <xf numFmtId="173" fontId="8" fillId="26" borderId="0" xfId="109" applyNumberFormat="1" applyFont="1" applyFill="1" applyAlignment="1" applyProtection="1">
      <protection locked="0"/>
    </xf>
    <xf numFmtId="0" fontId="12" fillId="0" borderId="33" xfId="264" applyBorder="1"/>
    <xf numFmtId="0" fontId="12" fillId="0" borderId="40" xfId="0" applyFont="1" applyBorder="1" applyAlignment="1">
      <alignment horizontal="center"/>
    </xf>
    <xf numFmtId="0" fontId="12" fillId="0" borderId="39" xfId="264" applyBorder="1"/>
    <xf numFmtId="0" fontId="12" fillId="0" borderId="39" xfId="264" applyBorder="1" applyAlignment="1">
      <alignment horizontal="right"/>
    </xf>
    <xf numFmtId="173" fontId="12" fillId="0" borderId="14" xfId="88" applyNumberFormat="1" applyFont="1" applyBorder="1"/>
    <xf numFmtId="173" fontId="12" fillId="0" borderId="41" xfId="88" applyNumberFormat="1" applyFont="1" applyBorder="1"/>
    <xf numFmtId="0" fontId="12" fillId="0" borderId="0" xfId="264"/>
    <xf numFmtId="37" fontId="12" fillId="0" borderId="0" xfId="264" applyNumberFormat="1"/>
    <xf numFmtId="172" fontId="12" fillId="0" borderId="0" xfId="257" applyFont="1"/>
    <xf numFmtId="0" fontId="12" fillId="0" borderId="16" xfId="0" applyFont="1" applyBorder="1" applyAlignment="1">
      <alignment horizontal="center"/>
    </xf>
    <xf numFmtId="0" fontId="12" fillId="0" borderId="42" xfId="264" applyBorder="1" applyAlignment="1">
      <alignment horizontal="right"/>
    </xf>
    <xf numFmtId="0" fontId="12" fillId="0" borderId="37" xfId="0" applyFont="1" applyBorder="1" applyAlignment="1">
      <alignment horizontal="center"/>
    </xf>
    <xf numFmtId="0" fontId="9" fillId="0" borderId="2" xfId="264" applyFont="1" applyBorder="1" applyAlignment="1">
      <alignment horizontal="centerContinuous" wrapText="1"/>
    </xf>
    <xf numFmtId="0" fontId="12" fillId="0" borderId="37" xfId="0" applyFont="1" applyBorder="1"/>
    <xf numFmtId="0" fontId="12" fillId="0" borderId="2" xfId="0" applyFont="1" applyBorder="1"/>
    <xf numFmtId="0" fontId="12" fillId="0" borderId="32" xfId="0" applyFont="1" applyBorder="1" applyAlignment="1">
      <alignment horizontal="center" wrapText="1"/>
    </xf>
    <xf numFmtId="0" fontId="9" fillId="0" borderId="32" xfId="264" applyFont="1" applyBorder="1" applyAlignment="1">
      <alignment horizontal="center" wrapText="1"/>
    </xf>
    <xf numFmtId="0" fontId="9" fillId="0" borderId="32" xfId="264" applyFont="1" applyBorder="1" applyAlignment="1">
      <alignment horizontal="center"/>
    </xf>
    <xf numFmtId="3" fontId="12" fillId="0" borderId="40" xfId="211" applyNumberFormat="1" applyBorder="1" applyAlignment="1">
      <alignment horizontal="center" wrapText="1"/>
    </xf>
    <xf numFmtId="3" fontId="12" fillId="0" borderId="11" xfId="211" applyNumberFormat="1" applyBorder="1" applyAlignment="1">
      <alignment horizontal="center" wrapText="1"/>
    </xf>
    <xf numFmtId="0" fontId="12" fillId="0" borderId="0" xfId="264" quotePrefix="1" applyAlignment="1">
      <alignment horizontal="left"/>
    </xf>
    <xf numFmtId="173" fontId="8" fillId="26" borderId="32" xfId="109" applyNumberFormat="1" applyFont="1" applyFill="1" applyBorder="1" applyAlignment="1" applyProtection="1">
      <protection locked="0"/>
    </xf>
    <xf numFmtId="0" fontId="12" fillId="0" borderId="11" xfId="264" applyBorder="1"/>
    <xf numFmtId="173" fontId="8" fillId="26" borderId="40" xfId="109" applyNumberFormat="1" applyFont="1" applyFill="1" applyBorder="1" applyAlignment="1" applyProtection="1">
      <protection locked="0"/>
    </xf>
    <xf numFmtId="0" fontId="12" fillId="0" borderId="14" xfId="0" applyFont="1" applyBorder="1" applyAlignment="1">
      <alignment horizontal="center"/>
    </xf>
    <xf numFmtId="0" fontId="132" fillId="0" borderId="0" xfId="0" applyFont="1" applyAlignment="1">
      <alignment horizontal="center"/>
    </xf>
    <xf numFmtId="0" fontId="17" fillId="0" borderId="0" xfId="211" applyFont="1" applyAlignment="1">
      <alignment horizontal="left" vertical="center"/>
    </xf>
    <xf numFmtId="0" fontId="17" fillId="0" borderId="0" xfId="211" applyFont="1" applyAlignment="1">
      <alignment horizontal="center" vertical="center"/>
    </xf>
    <xf numFmtId="0" fontId="17" fillId="0" borderId="0" xfId="253" applyFont="1" applyAlignment="1">
      <alignment horizontal="center" vertical="center" wrapText="1"/>
    </xf>
    <xf numFmtId="0" fontId="17" fillId="0" borderId="0" xfId="211" quotePrefix="1" applyFont="1" applyAlignment="1">
      <alignment horizontal="center" vertical="center" wrapText="1"/>
    </xf>
    <xf numFmtId="0" fontId="17" fillId="0" borderId="0" xfId="211" applyFont="1" applyAlignment="1">
      <alignment horizontal="left"/>
    </xf>
    <xf numFmtId="173" fontId="0" fillId="0" borderId="0" xfId="109" applyNumberFormat="1" applyFont="1" applyFill="1"/>
    <xf numFmtId="3" fontId="12" fillId="0" borderId="0" xfId="211" applyNumberFormat="1" applyAlignment="1">
      <alignment horizontal="right"/>
    </xf>
    <xf numFmtId="3" fontId="12" fillId="32" borderId="0" xfId="211" applyNumberFormat="1" applyFill="1"/>
    <xf numFmtId="0" fontId="12" fillId="30" borderId="0" xfId="211" applyFill="1" applyProtection="1">
      <protection locked="0"/>
    </xf>
    <xf numFmtId="173" fontId="8" fillId="30" borderId="11" xfId="89" applyNumberFormat="1" applyFont="1" applyFill="1" applyBorder="1" applyAlignment="1" applyProtection="1">
      <alignment horizontal="right"/>
      <protection locked="0"/>
    </xf>
    <xf numFmtId="173" fontId="0" fillId="0" borderId="11" xfId="109" applyNumberFormat="1" applyFont="1" applyFill="1" applyBorder="1"/>
    <xf numFmtId="173" fontId="12" fillId="0" borderId="0" xfId="211" applyNumberFormat="1"/>
    <xf numFmtId="0" fontId="81" fillId="0" borderId="0" xfId="211" applyFont="1" applyAlignment="1">
      <alignment horizontal="center"/>
    </xf>
    <xf numFmtId="173" fontId="8" fillId="30" borderId="0" xfId="89" applyNumberFormat="1" applyFont="1" applyFill="1" applyBorder="1" applyAlignment="1" applyProtection="1">
      <alignment horizontal="left"/>
      <protection locked="0"/>
    </xf>
    <xf numFmtId="0" fontId="8" fillId="30" borderId="0" xfId="89" applyNumberFormat="1" applyFont="1" applyFill="1" applyBorder="1" applyAlignment="1" applyProtection="1">
      <alignment horizontal="center"/>
      <protection locked="0"/>
    </xf>
    <xf numFmtId="173" fontId="63" fillId="0" borderId="0" xfId="109" applyNumberFormat="1" applyFont="1" applyFill="1" applyAlignment="1" applyProtection="1">
      <alignment horizontal="left"/>
      <protection locked="0"/>
    </xf>
    <xf numFmtId="173" fontId="63" fillId="0" borderId="11" xfId="109" applyNumberFormat="1" applyFont="1" applyFill="1" applyBorder="1" applyAlignment="1" applyProtection="1">
      <alignment horizontal="left"/>
      <protection locked="0"/>
    </xf>
    <xf numFmtId="0" fontId="15" fillId="0" borderId="0" xfId="166" applyFont="1"/>
    <xf numFmtId="0" fontId="15" fillId="0" borderId="0" xfId="166" applyFont="1" applyAlignment="1">
      <alignment horizontal="center"/>
    </xf>
    <xf numFmtId="0" fontId="15" fillId="0" borderId="0" xfId="166" applyFont="1" applyAlignment="1">
      <alignment horizontal="right"/>
    </xf>
    <xf numFmtId="0" fontId="91" fillId="0" borderId="0" xfId="264" applyFont="1" applyAlignment="1">
      <alignment horizontal="centerContinuous"/>
    </xf>
    <xf numFmtId="0" fontId="15" fillId="0" borderId="0" xfId="264" applyFont="1" applyAlignment="1">
      <alignment horizontal="left"/>
    </xf>
    <xf numFmtId="0" fontId="91" fillId="0" borderId="0" xfId="264" applyFont="1" applyAlignment="1">
      <alignment horizontal="center"/>
    </xf>
    <xf numFmtId="0" fontId="12" fillId="0" borderId="37" xfId="166" applyBorder="1" applyAlignment="1">
      <alignment horizontal="center" wrapText="1"/>
    </xf>
    <xf numFmtId="0" fontId="9" fillId="0" borderId="43" xfId="264" applyFont="1" applyBorder="1" applyAlignment="1">
      <alignment horizontal="center" wrapText="1"/>
    </xf>
    <xf numFmtId="0" fontId="15" fillId="0" borderId="0" xfId="166" applyFont="1" applyAlignment="1">
      <alignment wrapText="1"/>
    </xf>
    <xf numFmtId="0" fontId="12" fillId="0" borderId="32" xfId="166" applyBorder="1" applyAlignment="1">
      <alignment horizontal="center"/>
    </xf>
    <xf numFmtId="0" fontId="9" fillId="0" borderId="10" xfId="264" applyFont="1" applyBorder="1" applyAlignment="1">
      <alignment horizontal="center"/>
    </xf>
    <xf numFmtId="0" fontId="134" fillId="0" borderId="0" xfId="166" applyFont="1"/>
    <xf numFmtId="3" fontId="24" fillId="0" borderId="40" xfId="211" applyNumberFormat="1" applyFont="1" applyBorder="1" applyAlignment="1">
      <alignment horizontal="center" wrapText="1"/>
    </xf>
    <xf numFmtId="3" fontId="24" fillId="0" borderId="44" xfId="211" applyNumberFormat="1" applyFont="1" applyBorder="1" applyAlignment="1">
      <alignment wrapText="1"/>
    </xf>
    <xf numFmtId="173" fontId="8" fillId="26" borderId="0" xfId="108" applyNumberFormat="1" applyFont="1" applyFill="1" applyAlignment="1" applyProtection="1">
      <protection locked="0"/>
    </xf>
    <xf numFmtId="41" fontId="12" fillId="0" borderId="10" xfId="264" applyNumberFormat="1" applyBorder="1"/>
    <xf numFmtId="0" fontId="12" fillId="0" borderId="40" xfId="166" applyBorder="1" applyAlignment="1">
      <alignment horizontal="center"/>
    </xf>
    <xf numFmtId="3" fontId="24" fillId="0" borderId="44" xfId="211" applyNumberFormat="1" applyFont="1" applyBorder="1" applyAlignment="1">
      <alignment horizontal="center" wrapText="1"/>
    </xf>
    <xf numFmtId="173" fontId="8" fillId="30" borderId="0" xfId="88" applyNumberFormat="1" applyFont="1" applyFill="1" applyBorder="1" applyProtection="1">
      <protection locked="0"/>
    </xf>
    <xf numFmtId="0" fontId="12" fillId="0" borderId="16" xfId="166" applyBorder="1" applyAlignment="1">
      <alignment horizontal="center"/>
    </xf>
    <xf numFmtId="0" fontId="15" fillId="0" borderId="0" xfId="264" applyFont="1"/>
    <xf numFmtId="37" fontId="15" fillId="0" borderId="0" xfId="264" applyNumberFormat="1" applyFont="1"/>
    <xf numFmtId="172" fontId="15" fillId="0" borderId="0" xfId="257" applyFont="1"/>
    <xf numFmtId="0" fontId="12" fillId="0" borderId="0" xfId="254" applyAlignment="1">
      <alignment vertical="top"/>
    </xf>
    <xf numFmtId="0" fontId="12" fillId="0" borderId="0" xfId="166" applyAlignment="1">
      <alignment vertical="top" wrapText="1"/>
    </xf>
    <xf numFmtId="0" fontId="134" fillId="0" borderId="0" xfId="166" applyFont="1" applyAlignment="1">
      <alignment horizontal="center"/>
    </xf>
    <xf numFmtId="0" fontId="90" fillId="0" borderId="0" xfId="255" applyFont="1"/>
    <xf numFmtId="0" fontId="91" fillId="0" borderId="0" xfId="166" applyFont="1" applyAlignment="1">
      <alignment horizontal="center"/>
    </xf>
    <xf numFmtId="0" fontId="91" fillId="0" borderId="0" xfId="166" quotePrefix="1" applyFont="1" applyAlignment="1">
      <alignment horizontal="center"/>
    </xf>
    <xf numFmtId="0" fontId="9" fillId="0" borderId="0" xfId="255" applyFont="1" applyAlignment="1">
      <alignment horizontal="left"/>
    </xf>
    <xf numFmtId="173" fontId="12" fillId="0" borderId="0" xfId="88" applyNumberFormat="1" applyFont="1" applyFill="1" applyProtection="1"/>
    <xf numFmtId="0" fontId="12" fillId="0" borderId="0" xfId="255"/>
    <xf numFmtId="0" fontId="12" fillId="0" borderId="0" xfId="185"/>
    <xf numFmtId="0" fontId="12" fillId="0" borderId="0" xfId="255" applyAlignment="1">
      <alignment horizontal="left"/>
    </xf>
    <xf numFmtId="173" fontId="8" fillId="30" borderId="0" xfId="88" applyNumberFormat="1" applyFont="1" applyFill="1" applyProtection="1">
      <protection locked="0"/>
    </xf>
    <xf numFmtId="10" fontId="12" fillId="0" borderId="0" xfId="273" applyNumberFormat="1" applyFont="1" applyFill="1" applyBorder="1" applyProtection="1"/>
    <xf numFmtId="173" fontId="8" fillId="26" borderId="6" xfId="88" applyNumberFormat="1" applyFont="1" applyFill="1" applyBorder="1" applyAlignment="1" applyProtection="1">
      <protection locked="0"/>
    </xf>
    <xf numFmtId="10" fontId="9" fillId="0" borderId="0" xfId="273" applyNumberFormat="1" applyFont="1" applyFill="1" applyBorder="1" applyProtection="1"/>
    <xf numFmtId="0" fontId="9" fillId="0" borderId="0" xfId="255" applyFont="1"/>
    <xf numFmtId="173" fontId="9" fillId="0" borderId="0" xfId="273" applyNumberFormat="1" applyFont="1" applyFill="1" applyBorder="1" applyProtection="1"/>
    <xf numFmtId="173" fontId="12" fillId="0" borderId="0" xfId="273" applyNumberFormat="1" applyFont="1" applyFill="1" applyBorder="1" applyProtection="1"/>
    <xf numFmtId="10" fontId="9" fillId="0" borderId="18" xfId="273" applyNumberFormat="1" applyFont="1" applyFill="1" applyBorder="1" applyProtection="1"/>
    <xf numFmtId="0" fontId="100" fillId="0" borderId="0" xfId="185" applyFont="1" applyAlignment="1">
      <alignment horizontal="center"/>
    </xf>
    <xf numFmtId="0" fontId="12" fillId="0" borderId="0" xfId="260" applyNumberFormat="1" applyFont="1" applyAlignment="1" applyProtection="1">
      <alignment horizontal="center" vertical="center"/>
    </xf>
    <xf numFmtId="0" fontId="135" fillId="0" borderId="0" xfId="185" applyFont="1"/>
    <xf numFmtId="0" fontId="12" fillId="0" borderId="0" xfId="260" applyNumberFormat="1" applyFont="1" applyAlignment="1" applyProtection="1">
      <alignment horizontal="center" vertical="top"/>
    </xf>
    <xf numFmtId="0" fontId="63" fillId="0" borderId="0" xfId="185" applyFont="1" applyAlignment="1">
      <alignment vertical="top" wrapText="1"/>
    </xf>
    <xf numFmtId="0" fontId="9" fillId="0" borderId="0" xfId="260" applyNumberFormat="1" applyFont="1" applyAlignment="1" applyProtection="1">
      <alignment horizontal="center" vertical="center"/>
    </xf>
    <xf numFmtId="0" fontId="22" fillId="0" borderId="0" xfId="185" applyFont="1"/>
    <xf numFmtId="41" fontId="9" fillId="0" borderId="0" xfId="255" applyNumberFormat="1" applyFont="1" applyAlignment="1">
      <alignment horizontal="center" wrapText="1"/>
    </xf>
    <xf numFmtId="0" fontId="9" fillId="0" borderId="0" xfId="255" applyFont="1" applyAlignment="1">
      <alignment horizontal="center" wrapText="1"/>
    </xf>
    <xf numFmtId="0" fontId="8" fillId="26" borderId="0" xfId="255" applyFont="1" applyFill="1" applyProtection="1">
      <protection locked="0"/>
    </xf>
    <xf numFmtId="173" fontId="136" fillId="26" borderId="0" xfId="88" applyNumberFormat="1" applyFont="1" applyFill="1" applyProtection="1">
      <protection locked="0"/>
    </xf>
    <xf numFmtId="197" fontId="12" fillId="0" borderId="0" xfId="262" applyNumberFormat="1" applyAlignment="1" applyProtection="1">
      <alignment horizontal="center"/>
      <protection locked="0"/>
    </xf>
    <xf numFmtId="37" fontId="8" fillId="26" borderId="0" xfId="255" applyNumberFormat="1" applyFont="1" applyFill="1" applyProtection="1">
      <protection locked="0"/>
    </xf>
    <xf numFmtId="0" fontId="136" fillId="26" borderId="0" xfId="255" applyFont="1" applyFill="1" applyProtection="1">
      <protection locked="0"/>
    </xf>
    <xf numFmtId="198" fontId="12" fillId="0" borderId="0" xfId="262" applyNumberFormat="1" applyAlignment="1" applyProtection="1">
      <alignment horizontal="center"/>
      <protection locked="0"/>
    </xf>
    <xf numFmtId="14" fontId="12" fillId="0" borderId="0" xfId="262" applyNumberFormat="1" applyAlignment="1" applyProtection="1">
      <alignment horizontal="center"/>
      <protection locked="0"/>
    </xf>
    <xf numFmtId="0" fontId="12" fillId="0" borderId="11" xfId="185" applyBorder="1"/>
    <xf numFmtId="0" fontId="15" fillId="0" borderId="11" xfId="255" applyFont="1" applyBorder="1"/>
    <xf numFmtId="0" fontId="9" fillId="0" borderId="2" xfId="255" applyFont="1" applyBorder="1" applyAlignment="1">
      <alignment horizontal="left"/>
    </xf>
    <xf numFmtId="173" fontId="12" fillId="0" borderId="2" xfId="273" applyNumberFormat="1" applyFont="1" applyFill="1" applyBorder="1" applyProtection="1"/>
    <xf numFmtId="173" fontId="9" fillId="0" borderId="0" xfId="88" applyNumberFormat="1" applyFont="1" applyFill="1" applyBorder="1" applyProtection="1"/>
    <xf numFmtId="0" fontId="90" fillId="0" borderId="0" xfId="255" applyFont="1" applyAlignment="1">
      <alignment horizontal="left"/>
    </xf>
    <xf numFmtId="0" fontId="12" fillId="0" borderId="0" xfId="260" applyNumberFormat="1" applyFont="1" applyAlignment="1" applyProtection="1">
      <alignment horizontal="center" wrapText="1"/>
    </xf>
    <xf numFmtId="173" fontId="15" fillId="0" borderId="0" xfId="166" applyNumberFormat="1" applyFont="1"/>
    <xf numFmtId="0" fontId="15" fillId="0" borderId="2" xfId="166" applyFont="1" applyBorder="1"/>
    <xf numFmtId="188" fontId="5" fillId="0" borderId="0" xfId="260" applyNumberFormat="1" applyFont="1" applyAlignment="1" applyProtection="1">
      <alignment horizontal="center"/>
    </xf>
    <xf numFmtId="41" fontId="5" fillId="0" borderId="11" xfId="260" applyNumberFormat="1" applyFont="1" applyBorder="1" applyProtection="1"/>
    <xf numFmtId="0" fontId="5" fillId="0" borderId="0" xfId="166" applyFont="1" applyAlignment="1">
      <alignment horizontal="center"/>
    </xf>
    <xf numFmtId="0" fontId="63" fillId="0" borderId="0" xfId="166" applyFont="1"/>
    <xf numFmtId="0" fontId="5" fillId="0" borderId="0" xfId="166" applyFont="1"/>
    <xf numFmtId="173" fontId="5" fillId="32" borderId="0" xfId="86" applyNumberFormat="1" applyFont="1" applyFill="1" applyAlignment="1" applyProtection="1">
      <alignment horizontal="right"/>
    </xf>
    <xf numFmtId="179" fontId="5" fillId="0" borderId="0" xfId="260" applyNumberFormat="1" applyFont="1" applyAlignment="1" applyProtection="1">
      <alignment horizontal="center"/>
    </xf>
    <xf numFmtId="0" fontId="12" fillId="0" borderId="0" xfId="0" applyFont="1" applyAlignment="1">
      <alignment horizontal="left"/>
    </xf>
    <xf numFmtId="0" fontId="13" fillId="0" borderId="0" xfId="0" applyFont="1" applyAlignment="1">
      <alignment horizontal="left"/>
    </xf>
    <xf numFmtId="0" fontId="9" fillId="0" borderId="0" xfId="266" applyFont="1"/>
    <xf numFmtId="0" fontId="12" fillId="0" borderId="0" xfId="266" applyFont="1"/>
    <xf numFmtId="0" fontId="12" fillId="0" borderId="0" xfId="0" applyFont="1" applyAlignment="1">
      <alignment vertical="top"/>
    </xf>
    <xf numFmtId="41" fontId="19" fillId="0" borderId="0" xfId="253" applyNumberFormat="1" applyFont="1" applyProtection="1">
      <protection locked="0"/>
    </xf>
    <xf numFmtId="0" fontId="6" fillId="0" borderId="0" xfId="253" applyFont="1"/>
    <xf numFmtId="0" fontId="73" fillId="0" borderId="0" xfId="261" applyFont="1" applyAlignment="1">
      <alignment wrapText="1"/>
    </xf>
    <xf numFmtId="0" fontId="6" fillId="0" borderId="0" xfId="254" applyFont="1" applyAlignment="1">
      <alignment horizontal="center"/>
    </xf>
    <xf numFmtId="0" fontId="6" fillId="0" borderId="0" xfId="254" quotePrefix="1" applyFont="1" applyAlignment="1">
      <alignment horizontal="center"/>
    </xf>
    <xf numFmtId="0" fontId="6" fillId="0" borderId="0" xfId="254" applyFont="1" applyAlignment="1">
      <alignment horizontal="left" vertical="center" wrapText="1"/>
    </xf>
    <xf numFmtId="0" fontId="6" fillId="0" borderId="0" xfId="254" applyFont="1" applyAlignment="1">
      <alignment horizontal="center" vertical="center" wrapText="1"/>
    </xf>
    <xf numFmtId="0" fontId="6" fillId="0" borderId="0" xfId="254" quotePrefix="1" applyFont="1" applyAlignment="1">
      <alignment horizontal="center" vertical="center" wrapText="1"/>
    </xf>
    <xf numFmtId="0" fontId="12" fillId="0" borderId="0" xfId="256" applyAlignment="1">
      <alignment horizontal="left"/>
    </xf>
    <xf numFmtId="0" fontId="138" fillId="0" borderId="0" xfId="0" applyFont="1" applyAlignment="1">
      <alignment vertical="center"/>
    </xf>
    <xf numFmtId="0" fontId="139" fillId="0" borderId="0" xfId="211" applyFont="1"/>
    <xf numFmtId="0" fontId="140" fillId="0" borderId="0" xfId="211" applyFont="1" applyAlignment="1">
      <alignment horizontal="center"/>
    </xf>
    <xf numFmtId="3" fontId="141" fillId="0" borderId="0" xfId="211" applyNumberFormat="1" applyFont="1" applyAlignment="1">
      <alignment horizontal="center"/>
    </xf>
    <xf numFmtId="0" fontId="139" fillId="0" borderId="0" xfId="0" applyFont="1"/>
    <xf numFmtId="0" fontId="142" fillId="0" borderId="0" xfId="211" applyFont="1"/>
    <xf numFmtId="0" fontId="141" fillId="0" borderId="0" xfId="211" applyFont="1" applyAlignment="1">
      <alignment horizontal="center"/>
    </xf>
    <xf numFmtId="0" fontId="140" fillId="0" borderId="0" xfId="210" applyFont="1"/>
    <xf numFmtId="0" fontId="140" fillId="0" borderId="0" xfId="211" applyFont="1"/>
    <xf numFmtId="0" fontId="143" fillId="0" borderId="0" xfId="211" applyFont="1" applyAlignment="1">
      <alignment horizontal="left"/>
    </xf>
    <xf numFmtId="0" fontId="143" fillId="0" borderId="0" xfId="211" applyFont="1"/>
    <xf numFmtId="3" fontId="140" fillId="0" borderId="0" xfId="211" applyNumberFormat="1" applyFont="1"/>
    <xf numFmtId="1" fontId="144" fillId="0" borderId="0" xfId="211" applyNumberFormat="1" applyFont="1" applyAlignment="1">
      <alignment horizontal="center"/>
    </xf>
    <xf numFmtId="172" fontId="140" fillId="0" borderId="0" xfId="259" applyFont="1" applyProtection="1"/>
    <xf numFmtId="170" fontId="144" fillId="30" borderId="0" xfId="259" applyNumberFormat="1" applyFont="1" applyFill="1" applyAlignment="1" applyProtection="1">
      <alignment horizontal="right"/>
      <protection locked="0"/>
    </xf>
    <xf numFmtId="6" fontId="139" fillId="0" borderId="0" xfId="211" applyNumberFormat="1" applyFont="1"/>
    <xf numFmtId="170" fontId="140" fillId="0" borderId="0" xfId="259" applyNumberFormat="1" applyFont="1" applyAlignment="1" applyProtection="1">
      <alignment horizontal="right"/>
    </xf>
    <xf numFmtId="171" fontId="140" fillId="0" borderId="0" xfId="259" applyNumberFormat="1" applyFont="1" applyProtection="1"/>
    <xf numFmtId="0" fontId="145" fillId="0" borderId="0" xfId="211" applyFont="1"/>
    <xf numFmtId="170" fontId="140" fillId="0" borderId="0" xfId="259" applyNumberFormat="1" applyFont="1" applyProtection="1"/>
    <xf numFmtId="0" fontId="140" fillId="0" borderId="0" xfId="0" applyFont="1"/>
    <xf numFmtId="0" fontId="140" fillId="0" borderId="6" xfId="211" applyFont="1" applyBorder="1" applyAlignment="1">
      <alignment horizontal="center"/>
    </xf>
    <xf numFmtId="0" fontId="140" fillId="0" borderId="6" xfId="0" applyFont="1" applyBorder="1"/>
    <xf numFmtId="172" fontId="140" fillId="0" borderId="6" xfId="259" applyFont="1" applyBorder="1" applyProtection="1"/>
    <xf numFmtId="170" fontId="140" fillId="0" borderId="0" xfId="0" applyNumberFormat="1" applyFont="1"/>
    <xf numFmtId="170" fontId="140" fillId="0" borderId="0" xfId="211" applyNumberFormat="1" applyFont="1"/>
    <xf numFmtId="0" fontId="5" fillId="0" borderId="0" xfId="260" applyNumberFormat="1" applyFont="1" applyAlignment="1" applyProtection="1">
      <alignment horizontal="left" indent="2"/>
    </xf>
    <xf numFmtId="173" fontId="8" fillId="30" borderId="0" xfId="109" applyNumberFormat="1" applyFont="1" applyFill="1" applyAlignment="1" applyProtection="1">
      <protection locked="0"/>
    </xf>
    <xf numFmtId="173" fontId="8" fillId="30" borderId="32" xfId="109" applyNumberFormat="1" applyFont="1" applyFill="1" applyBorder="1" applyAlignment="1" applyProtection="1">
      <protection locked="0"/>
    </xf>
    <xf numFmtId="173" fontId="8" fillId="30" borderId="0" xfId="108" applyNumberFormat="1" applyFont="1" applyFill="1" applyAlignment="1" applyProtection="1">
      <protection locked="0"/>
    </xf>
    <xf numFmtId="0" fontId="5" fillId="30" borderId="0" xfId="0" applyFont="1" applyFill="1" applyAlignment="1" applyProtection="1">
      <alignment horizontal="center"/>
      <protection locked="0"/>
    </xf>
    <xf numFmtId="0" fontId="12" fillId="33" borderId="30" xfId="0" applyFont="1" applyFill="1" applyBorder="1" applyAlignment="1">
      <alignment horizontal="center"/>
    </xf>
    <xf numFmtId="0" fontId="122" fillId="0" borderId="0" xfId="0" applyFont="1" applyAlignment="1">
      <alignment horizontal="left"/>
    </xf>
    <xf numFmtId="0" fontId="122" fillId="0" borderId="0" xfId="0" applyFont="1"/>
    <xf numFmtId="0" fontId="122" fillId="0" borderId="29" xfId="0" applyFont="1" applyBorder="1" applyAlignment="1">
      <alignment horizontal="center" wrapText="1"/>
    </xf>
    <xf numFmtId="0" fontId="122" fillId="0" borderId="30" xfId="0" applyFont="1" applyBorder="1"/>
    <xf numFmtId="170" fontId="122" fillId="0" borderId="0" xfId="0" applyNumberFormat="1" applyFont="1"/>
    <xf numFmtId="170" fontId="123" fillId="0" borderId="0" xfId="0" applyNumberFormat="1" applyFont="1" applyAlignment="1">
      <alignment horizontal="center"/>
    </xf>
    <xf numFmtId="170" fontId="5" fillId="0" borderId="0" xfId="0" applyNumberFormat="1" applyFont="1"/>
    <xf numFmtId="5" fontId="122" fillId="0" borderId="31" xfId="0" applyNumberFormat="1" applyFont="1" applyBorder="1" applyAlignment="1">
      <alignment horizontal="center"/>
    </xf>
    <xf numFmtId="173" fontId="122" fillId="0" borderId="0" xfId="0" applyNumberFormat="1" applyFont="1"/>
    <xf numFmtId="0" fontId="122" fillId="0" borderId="0" xfId="0" applyFont="1" applyAlignment="1">
      <alignment horizontal="center"/>
    </xf>
    <xf numFmtId="173" fontId="122" fillId="0" borderId="6" xfId="0" applyNumberFormat="1" applyFont="1" applyBorder="1"/>
    <xf numFmtId="0" fontId="122" fillId="0" borderId="6" xfId="0" applyFont="1" applyBorder="1" applyAlignment="1">
      <alignment horizontal="center"/>
    </xf>
    <xf numFmtId="0" fontId="5" fillId="0" borderId="6" xfId="0" applyFont="1" applyBorder="1"/>
    <xf numFmtId="173" fontId="122" fillId="0" borderId="0" xfId="0" applyNumberFormat="1" applyFont="1" applyAlignment="1">
      <alignment horizontal="left"/>
    </xf>
    <xf numFmtId="0" fontId="123" fillId="0" borderId="0" xfId="0" applyFont="1" applyAlignment="1">
      <alignment horizontal="left"/>
    </xf>
    <xf numFmtId="0" fontId="123" fillId="0" borderId="0" xfId="0" applyFont="1" applyAlignment="1">
      <alignment horizontal="center" wrapText="1"/>
    </xf>
    <xf numFmtId="0" fontId="123" fillId="0" borderId="0" xfId="0" applyFont="1" applyAlignment="1">
      <alignment horizontal="center"/>
    </xf>
    <xf numFmtId="173" fontId="123" fillId="0" borderId="0" xfId="0" applyNumberFormat="1" applyFont="1" applyAlignment="1">
      <alignment horizontal="center" wrapText="1"/>
    </xf>
    <xf numFmtId="173" fontId="123" fillId="0" borderId="0" xfId="0" applyNumberFormat="1" applyFont="1" applyAlignment="1">
      <alignment horizontal="center"/>
    </xf>
    <xf numFmtId="176" fontId="122" fillId="0" borderId="0" xfId="273" applyNumberFormat="1" applyFont="1" applyFill="1" applyProtection="1"/>
    <xf numFmtId="173" fontId="122" fillId="0" borderId="0" xfId="0" applyNumberFormat="1" applyFont="1" applyAlignment="1">
      <alignment horizontal="center"/>
    </xf>
    <xf numFmtId="0" fontId="124" fillId="0" borderId="0" xfId="0" applyFont="1" applyAlignment="1">
      <alignment horizontal="center"/>
    </xf>
    <xf numFmtId="173" fontId="122" fillId="0" borderId="0" xfId="88" applyNumberFormat="1" applyFont="1" applyFill="1" applyProtection="1"/>
    <xf numFmtId="176" fontId="122" fillId="0" borderId="0" xfId="0" applyNumberFormat="1" applyFont="1"/>
    <xf numFmtId="173" fontId="122" fillId="0" borderId="11" xfId="88" applyNumberFormat="1" applyFont="1" applyFill="1" applyBorder="1" applyProtection="1"/>
    <xf numFmtId="173" fontId="123" fillId="0" borderId="0" xfId="88" applyNumberFormat="1" applyFont="1" applyFill="1" applyProtection="1"/>
    <xf numFmtId="173" fontId="123" fillId="0" borderId="0" xfId="88" applyNumberFormat="1" applyFont="1" applyFill="1" applyAlignment="1" applyProtection="1">
      <alignment horizontal="center"/>
    </xf>
    <xf numFmtId="0" fontId="124" fillId="0" borderId="0" xfId="0" applyFont="1"/>
    <xf numFmtId="173" fontId="123" fillId="0" borderId="0" xfId="0" applyNumberFormat="1" applyFont="1"/>
    <xf numFmtId="195" fontId="5" fillId="0" borderId="0" xfId="0" applyNumberFormat="1" applyFont="1"/>
    <xf numFmtId="173" fontId="5" fillId="0" borderId="0" xfId="88" applyNumberFormat="1" applyFont="1" applyFill="1" applyProtection="1"/>
    <xf numFmtId="173" fontId="5" fillId="0" borderId="0" xfId="118" applyNumberFormat="1" applyFont="1" applyFill="1" applyProtection="1"/>
    <xf numFmtId="170" fontId="122" fillId="30" borderId="31" xfId="0" applyNumberFormat="1" applyFont="1" applyFill="1" applyBorder="1" applyAlignment="1" applyProtection="1">
      <alignment horizontal="center"/>
      <protection locked="0"/>
    </xf>
    <xf numFmtId="176" fontId="122" fillId="30" borderId="0" xfId="273" applyNumberFormat="1" applyFont="1" applyFill="1" applyProtection="1">
      <protection locked="0"/>
    </xf>
    <xf numFmtId="0" fontId="3" fillId="0" borderId="0" xfId="263" applyAlignment="1">
      <alignment horizontal="left"/>
    </xf>
    <xf numFmtId="0" fontId="3" fillId="0" borderId="0" xfId="263" applyAlignment="1">
      <alignment wrapText="1"/>
    </xf>
    <xf numFmtId="0" fontId="106" fillId="0" borderId="37" xfId="263" applyFont="1" applyBorder="1"/>
    <xf numFmtId="0" fontId="3" fillId="0" borderId="40" xfId="263" applyBorder="1"/>
    <xf numFmtId="194" fontId="3" fillId="0" borderId="0" xfId="263" applyNumberFormat="1"/>
    <xf numFmtId="0" fontId="82" fillId="0" borderId="2" xfId="263" applyFont="1" applyBorder="1" applyAlignment="1">
      <alignment horizontal="center"/>
    </xf>
    <xf numFmtId="10" fontId="3" fillId="0" borderId="11" xfId="286" applyNumberFormat="1" applyFont="1" applyBorder="1" applyAlignment="1" applyProtection="1">
      <alignment horizontal="center"/>
    </xf>
    <xf numFmtId="10" fontId="3" fillId="0" borderId="0" xfId="263" applyNumberFormat="1"/>
    <xf numFmtId="0" fontId="82" fillId="0" borderId="38" xfId="263" applyFont="1" applyBorder="1" applyAlignment="1">
      <alignment horizontal="center"/>
    </xf>
    <xf numFmtId="10" fontId="77" fillId="0" borderId="39" xfId="286" applyNumberFormat="1" applyFont="1" applyBorder="1" applyAlignment="1" applyProtection="1">
      <alignment horizontal="center"/>
    </xf>
    <xf numFmtId="192" fontId="3" fillId="0" borderId="0" xfId="263" applyNumberFormat="1"/>
    <xf numFmtId="0" fontId="12" fillId="32" borderId="30" xfId="0" applyFont="1" applyFill="1" applyBorder="1" applyAlignment="1">
      <alignment horizontal="center"/>
    </xf>
    <xf numFmtId="10" fontId="5" fillId="0" borderId="0" xfId="273" applyNumberFormat="1" applyFont="1" applyFill="1" applyAlignment="1" applyProtection="1"/>
    <xf numFmtId="171" fontId="140" fillId="33" borderId="0" xfId="259" applyNumberFormat="1" applyFont="1" applyFill="1" applyProtection="1">
      <protection locked="0"/>
    </xf>
    <xf numFmtId="0" fontId="24" fillId="0" borderId="0" xfId="214" applyFont="1"/>
    <xf numFmtId="0" fontId="24" fillId="0" borderId="0" xfId="214" applyFont="1" applyAlignment="1">
      <alignment horizontal="center"/>
    </xf>
    <xf numFmtId="0" fontId="12" fillId="0" borderId="0" xfId="214" applyFont="1" applyAlignment="1">
      <alignment horizontal="right"/>
    </xf>
    <xf numFmtId="14" fontId="24" fillId="0" borderId="0" xfId="214" applyNumberFormat="1" applyFont="1"/>
    <xf numFmtId="0" fontId="24" fillId="0" borderId="0" xfId="166" applyFont="1"/>
    <xf numFmtId="9" fontId="24" fillId="0" borderId="0" xfId="272" applyFont="1"/>
    <xf numFmtId="41" fontId="24" fillId="0" borderId="0" xfId="214" applyNumberFormat="1" applyFont="1"/>
    <xf numFmtId="10" fontId="24" fillId="0" borderId="0" xfId="274" applyNumberFormat="1" applyFont="1"/>
    <xf numFmtId="0" fontId="24" fillId="0" borderId="0" xfId="0" applyFont="1"/>
    <xf numFmtId="0" fontId="24" fillId="0" borderId="11" xfId="214" applyFont="1" applyBorder="1"/>
    <xf numFmtId="0" fontId="25" fillId="0" borderId="11" xfId="214" applyFont="1" applyBorder="1" applyAlignment="1">
      <alignment horizontal="center"/>
    </xf>
    <xf numFmtId="0" fontId="25" fillId="0" borderId="11" xfId="214" applyFont="1" applyBorder="1" applyAlignment="1">
      <alignment horizontal="center" wrapText="1"/>
    </xf>
    <xf numFmtId="0" fontId="25" fillId="0" borderId="13" xfId="214" applyFont="1" applyBorder="1" applyAlignment="1">
      <alignment horizontal="center" wrapText="1"/>
    </xf>
    <xf numFmtId="0" fontId="25" fillId="0" borderId="0" xfId="214" applyFont="1" applyAlignment="1">
      <alignment horizontal="center"/>
    </xf>
    <xf numFmtId="0" fontId="25" fillId="0" borderId="0" xfId="214" applyFont="1" applyAlignment="1">
      <alignment horizontal="center" wrapText="1"/>
    </xf>
    <xf numFmtId="0" fontId="25" fillId="0" borderId="0" xfId="214" applyFont="1" applyAlignment="1">
      <alignment horizontal="left"/>
    </xf>
    <xf numFmtId="0" fontId="24" fillId="35" borderId="0" xfId="214" applyFont="1" applyFill="1"/>
    <xf numFmtId="49" fontId="24" fillId="0" borderId="0" xfId="214" applyNumberFormat="1" applyFont="1" applyAlignment="1">
      <alignment horizontal="center"/>
    </xf>
    <xf numFmtId="173" fontId="24" fillId="30" borderId="12" xfId="254" applyNumberFormat="1" applyFont="1" applyFill="1" applyBorder="1" applyProtection="1">
      <protection locked="0"/>
    </xf>
    <xf numFmtId="173" fontId="24" fillId="36" borderId="12" xfId="113" applyNumberFormat="1" applyFont="1" applyFill="1" applyBorder="1"/>
    <xf numFmtId="41" fontId="24" fillId="30" borderId="12" xfId="254" applyNumberFormat="1" applyFont="1" applyFill="1" applyBorder="1" applyProtection="1">
      <protection locked="0"/>
    </xf>
    <xf numFmtId="173" fontId="24" fillId="0" borderId="45" xfId="113" applyNumberFormat="1" applyFont="1" applyFill="1" applyBorder="1"/>
    <xf numFmtId="173" fontId="24" fillId="0" borderId="12" xfId="113" applyNumberFormat="1" applyFont="1" applyFill="1" applyBorder="1"/>
    <xf numFmtId="41" fontId="24" fillId="30" borderId="0" xfId="254" applyNumberFormat="1" applyFont="1" applyFill="1" applyProtection="1">
      <protection locked="0"/>
    </xf>
    <xf numFmtId="41" fontId="24" fillId="0" borderId="0" xfId="214" applyNumberFormat="1" applyFont="1" applyAlignment="1">
      <alignment horizontal="center"/>
    </xf>
    <xf numFmtId="0" fontId="25" fillId="0" borderId="0" xfId="214" applyFont="1"/>
    <xf numFmtId="173" fontId="24" fillId="0" borderId="0" xfId="214" applyNumberFormat="1" applyFont="1"/>
    <xf numFmtId="173" fontId="24" fillId="36" borderId="45" xfId="113" applyNumberFormat="1" applyFont="1" applyFill="1" applyBorder="1"/>
    <xf numFmtId="41" fontId="24" fillId="0" borderId="12" xfId="166" applyNumberFormat="1" applyFont="1" applyBorder="1"/>
    <xf numFmtId="41" fontId="24" fillId="30" borderId="32" xfId="254" applyNumberFormat="1" applyFont="1" applyFill="1" applyBorder="1" applyAlignment="1" applyProtection="1">
      <alignment vertical="center" wrapText="1"/>
      <protection locked="0"/>
    </xf>
    <xf numFmtId="173" fontId="24" fillId="0" borderId="0" xfId="86" applyNumberFormat="1" applyFont="1" applyBorder="1" applyAlignment="1">
      <alignment horizontal="center"/>
    </xf>
    <xf numFmtId="41" fontId="24" fillId="30" borderId="32" xfId="254" applyNumberFormat="1" applyFont="1" applyFill="1" applyBorder="1" applyAlignment="1" applyProtection="1">
      <alignment vertical="top"/>
      <protection locked="0"/>
    </xf>
    <xf numFmtId="0" fontId="24" fillId="0" borderId="0" xfId="214" applyFont="1" applyAlignment="1">
      <alignment wrapText="1"/>
    </xf>
    <xf numFmtId="173" fontId="24" fillId="36" borderId="0" xfId="113" applyNumberFormat="1" applyFont="1" applyFill="1" applyBorder="1"/>
    <xf numFmtId="173" fontId="24" fillId="30" borderId="46" xfId="254" applyNumberFormat="1" applyFont="1" applyFill="1" applyBorder="1" applyProtection="1">
      <protection locked="0"/>
    </xf>
    <xf numFmtId="173" fontId="24" fillId="0" borderId="0" xfId="113" applyNumberFormat="1" applyFont="1" applyFill="1" applyBorder="1"/>
    <xf numFmtId="173" fontId="24" fillId="0" borderId="0" xfId="113" applyNumberFormat="1" applyFont="1" applyBorder="1" applyAlignment="1">
      <alignment wrapText="1"/>
    </xf>
    <xf numFmtId="0" fontId="24" fillId="0" borderId="0" xfId="214" applyFont="1" applyAlignment="1">
      <alignment horizontal="left"/>
    </xf>
    <xf numFmtId="1" fontId="24" fillId="0" borderId="14" xfId="86" applyNumberFormat="1" applyFont="1" applyBorder="1" applyAlignment="1"/>
    <xf numFmtId="173" fontId="24" fillId="0" borderId="14" xfId="86" applyNumberFormat="1" applyFont="1" applyBorder="1" applyAlignment="1"/>
    <xf numFmtId="177" fontId="24" fillId="0" borderId="14" xfId="86" applyNumberFormat="1" applyFont="1" applyBorder="1" applyAlignment="1"/>
    <xf numFmtId="173" fontId="24" fillId="0" borderId="0" xfId="113" applyNumberFormat="1" applyFont="1" applyAlignment="1">
      <alignment wrapText="1"/>
    </xf>
    <xf numFmtId="1" fontId="24" fillId="0" borderId="0" xfId="86" applyNumberFormat="1" applyFont="1" applyBorder="1" applyAlignment="1"/>
    <xf numFmtId="177" fontId="24" fillId="0" borderId="0" xfId="86" applyNumberFormat="1" applyFont="1" applyBorder="1" applyAlignment="1"/>
    <xf numFmtId="173" fontId="24" fillId="0" borderId="1" xfId="86" applyNumberFormat="1" applyFont="1" applyBorder="1" applyAlignment="1">
      <alignment horizontal="center"/>
    </xf>
    <xf numFmtId="173" fontId="24" fillId="0" borderId="0" xfId="86" applyNumberFormat="1" applyFont="1" applyBorder="1" applyAlignment="1"/>
    <xf numFmtId="0" fontId="24" fillId="0" borderId="0" xfId="214" applyFont="1" applyAlignment="1">
      <alignment horizontal="left" vertical="center"/>
    </xf>
    <xf numFmtId="0" fontId="24" fillId="0" borderId="0" xfId="214" applyFont="1" applyAlignment="1">
      <alignment vertical="top" wrapText="1"/>
    </xf>
    <xf numFmtId="0" fontId="24" fillId="0" borderId="0" xfId="214" applyFont="1" applyAlignment="1">
      <alignment vertical="top"/>
    </xf>
    <xf numFmtId="0" fontId="25" fillId="0" borderId="0" xfId="214" applyFont="1" applyAlignment="1">
      <alignment horizontal="left" vertical="center"/>
    </xf>
    <xf numFmtId="173" fontId="24" fillId="0" borderId="0" xfId="214" applyNumberFormat="1" applyFont="1" applyAlignment="1">
      <alignment horizontal="left" vertical="center"/>
    </xf>
    <xf numFmtId="37" fontId="8" fillId="26" borderId="0" xfId="166" applyNumberFormat="1" applyFont="1" applyFill="1" applyProtection="1">
      <protection locked="0"/>
    </xf>
    <xf numFmtId="173" fontId="12" fillId="0" borderId="0" xfId="88" applyNumberFormat="1" applyProtection="1"/>
    <xf numFmtId="173" fontId="12" fillId="0" borderId="0" xfId="88" applyNumberFormat="1" applyFill="1" applyProtection="1"/>
    <xf numFmtId="193" fontId="63" fillId="30" borderId="0" xfId="166" applyNumberFormat="1" applyFont="1" applyFill="1" applyAlignment="1" applyProtection="1">
      <alignment horizontal="left"/>
      <protection locked="0"/>
    </xf>
    <xf numFmtId="3" fontId="125" fillId="30" borderId="0" xfId="166" applyNumberFormat="1" applyFont="1" applyFill="1" applyProtection="1">
      <protection locked="0"/>
    </xf>
    <xf numFmtId="37" fontId="8" fillId="30" borderId="0" xfId="166" applyNumberFormat="1" applyFont="1" applyFill="1" applyProtection="1">
      <protection locked="0"/>
    </xf>
    <xf numFmtId="193" fontId="63" fillId="30" borderId="0" xfId="166" quotePrefix="1" applyNumberFormat="1" applyFont="1" applyFill="1" applyAlignment="1" applyProtection="1">
      <alignment horizontal="left"/>
      <protection locked="0"/>
    </xf>
    <xf numFmtId="3" fontId="63" fillId="30" borderId="0" xfId="166" applyNumberFormat="1" applyFont="1" applyFill="1" applyProtection="1">
      <protection locked="0"/>
    </xf>
    <xf numFmtId="3" fontId="63" fillId="30" borderId="0" xfId="166" quotePrefix="1" applyNumberFormat="1" applyFont="1" applyFill="1" applyProtection="1">
      <protection locked="0"/>
    </xf>
    <xf numFmtId="173" fontId="154" fillId="30" borderId="0" xfId="88" applyNumberFormat="1" applyFont="1" applyFill="1"/>
    <xf numFmtId="170" fontId="144" fillId="30" borderId="6" xfId="259" applyNumberFormat="1" applyFont="1" applyFill="1" applyBorder="1" applyAlignment="1" applyProtection="1">
      <alignment horizontal="right"/>
      <protection locked="0"/>
    </xf>
    <xf numFmtId="3" fontId="19" fillId="30" borderId="6" xfId="260" applyNumberFormat="1" applyFont="1" applyFill="1" applyBorder="1" applyProtection="1">
      <protection locked="0"/>
    </xf>
    <xf numFmtId="0" fontId="122" fillId="0" borderId="30" xfId="0" applyFont="1" applyBorder="1" applyAlignment="1">
      <alignment horizontal="center" wrapText="1"/>
    </xf>
    <xf numFmtId="170" fontId="123" fillId="0" borderId="0" xfId="0" applyNumberFormat="1" applyFont="1" applyAlignment="1">
      <alignment horizontal="right"/>
    </xf>
    <xf numFmtId="170" fontId="122" fillId="0" borderId="0" xfId="0" applyNumberFormat="1" applyFont="1" applyAlignment="1">
      <alignment horizontal="center"/>
    </xf>
    <xf numFmtId="0" fontId="12" fillId="0" borderId="16" xfId="264" applyBorder="1" applyAlignment="1">
      <alignment horizontal="right"/>
    </xf>
    <xf numFmtId="173" fontId="12" fillId="0" borderId="45" xfId="88" applyNumberFormat="1" applyFont="1" applyBorder="1"/>
    <xf numFmtId="173" fontId="12" fillId="0" borderId="13" xfId="88" applyNumberFormat="1" applyFont="1" applyBorder="1"/>
    <xf numFmtId="173" fontId="12" fillId="0" borderId="46" xfId="88" applyNumberFormat="1" applyFont="1" applyBorder="1"/>
    <xf numFmtId="0" fontId="12" fillId="0" borderId="11" xfId="264" applyBorder="1" applyAlignment="1">
      <alignment horizontal="right"/>
    </xf>
    <xf numFmtId="49" fontId="2" fillId="0" borderId="0" xfId="339" applyNumberFormat="1"/>
    <xf numFmtId="0" fontId="2" fillId="0" borderId="0" xfId="339"/>
    <xf numFmtId="0" fontId="5" fillId="0" borderId="0" xfId="339" applyFont="1" applyAlignment="1">
      <alignment horizontal="right"/>
    </xf>
    <xf numFmtId="173" fontId="2" fillId="0" borderId="0" xfId="340" applyNumberFormat="1" applyFont="1"/>
    <xf numFmtId="0" fontId="24" fillId="0" borderId="0" xfId="341" applyFont="1" applyAlignment="1">
      <alignment horizontal="right"/>
    </xf>
    <xf numFmtId="0" fontId="2" fillId="0" borderId="0" xfId="341" applyFont="1" applyAlignment="1">
      <alignment horizontal="right"/>
    </xf>
    <xf numFmtId="0" fontId="2" fillId="0" borderId="0" xfId="342"/>
    <xf numFmtId="41" fontId="9" fillId="0" borderId="0" xfId="343" applyNumberFormat="1" applyFont="1" applyAlignment="1" applyProtection="1">
      <alignment horizontal="center"/>
      <protection locked="0"/>
    </xf>
    <xf numFmtId="2" fontId="2" fillId="0" borderId="0" xfId="339" applyNumberFormat="1" applyAlignment="1">
      <alignment horizontal="center"/>
    </xf>
    <xf numFmtId="0" fontId="2" fillId="0" borderId="0" xfId="339" applyAlignment="1">
      <alignment horizontal="center"/>
    </xf>
    <xf numFmtId="2" fontId="2" fillId="0" borderId="0" xfId="339" applyNumberFormat="1"/>
    <xf numFmtId="0" fontId="2" fillId="0" borderId="0" xfId="339" applyAlignment="1">
      <alignment wrapText="1"/>
    </xf>
    <xf numFmtId="0" fontId="2" fillId="0" borderId="0" xfId="339" applyAlignment="1">
      <alignment horizontal="center" wrapText="1"/>
    </xf>
    <xf numFmtId="1" fontId="2" fillId="0" borderId="0" xfId="339" applyNumberFormat="1" applyAlignment="1">
      <alignment horizontal="center"/>
    </xf>
    <xf numFmtId="49" fontId="2" fillId="0" borderId="0" xfId="340" applyNumberFormat="1" applyFont="1"/>
    <xf numFmtId="173" fontId="2" fillId="0" borderId="11" xfId="340" applyNumberFormat="1" applyFont="1" applyBorder="1"/>
    <xf numFmtId="173" fontId="2" fillId="0" borderId="0" xfId="340" applyNumberFormat="1" applyFont="1" applyFill="1"/>
    <xf numFmtId="10" fontId="2" fillId="0" borderId="0" xfId="344" applyNumberFormat="1" applyFont="1" applyFill="1" applyAlignment="1"/>
    <xf numFmtId="9" fontId="2" fillId="0" borderId="0" xfId="344" applyFont="1"/>
    <xf numFmtId="9" fontId="2" fillId="0" borderId="0" xfId="344" applyFont="1" applyFill="1"/>
    <xf numFmtId="43" fontId="2" fillId="0" borderId="0" xfId="340" applyFont="1" applyFill="1"/>
    <xf numFmtId="10" fontId="2" fillId="0" borderId="0" xfId="344" applyNumberFormat="1" applyFont="1" applyFill="1"/>
    <xf numFmtId="173" fontId="2" fillId="0" borderId="13" xfId="340" applyNumberFormat="1" applyFont="1" applyBorder="1"/>
    <xf numFmtId="173" fontId="2" fillId="0" borderId="0" xfId="340" applyNumberFormat="1" applyFont="1" applyBorder="1"/>
    <xf numFmtId="10" fontId="2" fillId="0" borderId="0" xfId="344" applyNumberFormat="1" applyFont="1"/>
    <xf numFmtId="0" fontId="15" fillId="0" borderId="0" xfId="339" applyFont="1"/>
    <xf numFmtId="0" fontId="15" fillId="0" borderId="0" xfId="339" applyFont="1" applyAlignment="1">
      <alignment vertical="top"/>
    </xf>
    <xf numFmtId="0" fontId="2" fillId="0" borderId="0" xfId="339" applyAlignment="1">
      <alignment vertical="center"/>
    </xf>
    <xf numFmtId="0" fontId="155" fillId="0" borderId="0" xfId="339" applyFont="1" applyAlignment="1">
      <alignment vertical="center"/>
    </xf>
    <xf numFmtId="0" fontId="155" fillId="0" borderId="0" xfId="339" applyFont="1" applyAlignment="1">
      <alignment vertical="center" wrapText="1"/>
    </xf>
    <xf numFmtId="173" fontId="8" fillId="26" borderId="2" xfId="108" applyNumberFormat="1" applyFont="1" applyFill="1" applyBorder="1" applyAlignment="1" applyProtection="1">
      <protection locked="0"/>
    </xf>
    <xf numFmtId="173" fontId="8" fillId="26" borderId="0" xfId="108" applyNumberFormat="1" applyFont="1" applyFill="1" applyBorder="1" applyAlignment="1" applyProtection="1">
      <protection locked="0"/>
    </xf>
    <xf numFmtId="173" fontId="8" fillId="26" borderId="11" xfId="108" applyNumberFormat="1" applyFont="1" applyFill="1" applyBorder="1" applyAlignment="1" applyProtection="1">
      <protection locked="0"/>
    </xf>
    <xf numFmtId="169" fontId="5" fillId="0" borderId="6" xfId="260" applyNumberFormat="1" applyFont="1" applyBorder="1" applyProtection="1"/>
    <xf numFmtId="172" fontId="5" fillId="0" borderId="0" xfId="260" applyFont="1" applyAlignment="1" applyProtection="1">
      <alignment horizontal="left" wrapText="1"/>
    </xf>
    <xf numFmtId="0" fontId="2" fillId="0" borderId="0" xfId="345" applyAlignment="1">
      <alignment horizontal="center"/>
    </xf>
    <xf numFmtId="38" fontId="2" fillId="0" borderId="0" xfId="0" applyNumberFormat="1" applyFont="1"/>
    <xf numFmtId="173" fontId="8" fillId="26" borderId="0" xfId="348" applyNumberFormat="1" applyFont="1" applyFill="1" applyBorder="1" applyAlignment="1">
      <alignment horizontal="right"/>
    </xf>
    <xf numFmtId="173" fontId="8" fillId="26" borderId="33" xfId="348" applyNumberFormat="1" applyFont="1" applyFill="1" applyBorder="1" applyAlignment="1">
      <alignment horizontal="right"/>
    </xf>
    <xf numFmtId="173" fontId="8" fillId="26" borderId="39" xfId="348" applyNumberFormat="1" applyFont="1" applyFill="1" applyBorder="1" applyAlignment="1">
      <alignment horizontal="right"/>
    </xf>
    <xf numFmtId="173" fontId="2" fillId="0" borderId="14" xfId="348" applyNumberFormat="1" applyFont="1" applyBorder="1"/>
    <xf numFmtId="173" fontId="2" fillId="0" borderId="41" xfId="348" applyNumberFormat="1" applyFont="1" applyBorder="1"/>
    <xf numFmtId="173" fontId="8" fillId="26" borderId="38" xfId="348" applyNumberFormat="1" applyFont="1" applyFill="1" applyBorder="1" applyAlignment="1">
      <alignment horizontal="right"/>
    </xf>
    <xf numFmtId="173" fontId="155" fillId="26" borderId="0" xfId="348" applyNumberFormat="1" applyFont="1" applyFill="1" applyBorder="1" applyAlignment="1">
      <alignment horizontal="right"/>
    </xf>
    <xf numFmtId="173" fontId="155" fillId="26" borderId="38" xfId="348" applyNumberFormat="1" applyFont="1" applyFill="1" applyBorder="1" applyAlignment="1">
      <alignment horizontal="right"/>
    </xf>
    <xf numFmtId="173" fontId="155" fillId="26" borderId="33" xfId="348" applyNumberFormat="1" applyFont="1" applyFill="1" applyBorder="1" applyAlignment="1">
      <alignment horizontal="right"/>
    </xf>
    <xf numFmtId="173" fontId="155" fillId="26" borderId="39" xfId="348" applyNumberFormat="1" applyFont="1" applyFill="1" applyBorder="1" applyAlignment="1">
      <alignment horizontal="right"/>
    </xf>
    <xf numFmtId="0" fontId="9" fillId="0" borderId="2" xfId="264" applyFont="1" applyBorder="1" applyAlignment="1">
      <alignment horizontal="center" wrapText="1"/>
    </xf>
    <xf numFmtId="173" fontId="8" fillId="30" borderId="0" xfId="89" applyNumberFormat="1" applyFont="1" applyFill="1" applyBorder="1" applyAlignment="1">
      <alignment horizontal="right"/>
    </xf>
    <xf numFmtId="0" fontId="2" fillId="0" borderId="2" xfId="0" applyFont="1" applyBorder="1"/>
    <xf numFmtId="0" fontId="2" fillId="0" borderId="38" xfId="0" applyFont="1" applyBorder="1"/>
    <xf numFmtId="0" fontId="9" fillId="0" borderId="0" xfId="346" applyFont="1" applyAlignment="1">
      <alignment horizontal="center" wrapText="1"/>
    </xf>
    <xf numFmtId="0" fontId="9" fillId="0" borderId="33" xfId="346" applyFont="1" applyBorder="1" applyAlignment="1">
      <alignment horizontal="center" wrapText="1"/>
    </xf>
    <xf numFmtId="0" fontId="9" fillId="0" borderId="0" xfId="346" applyFont="1" applyAlignment="1">
      <alignment horizontal="center"/>
    </xf>
    <xf numFmtId="0" fontId="9" fillId="0" borderId="33" xfId="346" applyFont="1" applyBorder="1" applyAlignment="1">
      <alignment horizontal="center"/>
    </xf>
    <xf numFmtId="3" fontId="2" fillId="0" borderId="11" xfId="347" applyNumberFormat="1" applyBorder="1" applyAlignment="1">
      <alignment horizontal="center" wrapText="1"/>
    </xf>
    <xf numFmtId="3" fontId="2" fillId="0" borderId="39" xfId="347" applyNumberFormat="1" applyBorder="1" applyAlignment="1">
      <alignment horizontal="center" wrapText="1"/>
    </xf>
    <xf numFmtId="0" fontId="9" fillId="0" borderId="2" xfId="346" applyFont="1" applyBorder="1" applyAlignment="1">
      <alignment horizontal="center" wrapText="1"/>
    </xf>
    <xf numFmtId="0" fontId="9" fillId="0" borderId="38" xfId="346" applyFont="1" applyBorder="1" applyAlignment="1">
      <alignment horizontal="center" wrapText="1"/>
    </xf>
    <xf numFmtId="3" fontId="24" fillId="0" borderId="11" xfId="347" applyNumberFormat="1" applyFont="1" applyBorder="1" applyAlignment="1">
      <alignment horizontal="center" wrapText="1"/>
    </xf>
    <xf numFmtId="3" fontId="24" fillId="0" borderId="39" xfId="347" applyNumberFormat="1" applyFont="1" applyBorder="1" applyAlignment="1">
      <alignment horizontal="center" wrapText="1"/>
    </xf>
    <xf numFmtId="0" fontId="9" fillId="0" borderId="0" xfId="252" applyFont="1" applyAlignment="1">
      <alignment horizontal="center" wrapText="1"/>
    </xf>
    <xf numFmtId="3" fontId="157" fillId="0" borderId="0" xfId="260" applyNumberFormat="1" applyFont="1" applyProtection="1"/>
    <xf numFmtId="41" fontId="157" fillId="26" borderId="6" xfId="260" applyNumberFormat="1" applyFont="1" applyFill="1" applyBorder="1" applyProtection="1">
      <protection locked="0"/>
    </xf>
    <xf numFmtId="41" fontId="93" fillId="0" borderId="0" xfId="260" applyNumberFormat="1" applyFont="1" applyAlignment="1" applyProtection="1">
      <alignment horizontal="right"/>
    </xf>
    <xf numFmtId="3" fontId="93" fillId="0" borderId="0" xfId="260" applyNumberFormat="1" applyFont="1" applyAlignment="1" applyProtection="1">
      <alignment horizontal="right"/>
    </xf>
    <xf numFmtId="178" fontId="6" fillId="0" borderId="0" xfId="260" applyNumberFormat="1" applyFont="1" applyAlignment="1" applyProtection="1">
      <alignment horizontal="right"/>
    </xf>
    <xf numFmtId="0" fontId="2" fillId="0" borderId="0" xfId="0" applyFont="1" applyAlignment="1">
      <alignment wrapText="1"/>
    </xf>
    <xf numFmtId="166" fontId="6" fillId="0" borderId="0" xfId="260" applyNumberFormat="1" applyFont="1" applyAlignment="1" applyProtection="1">
      <alignment horizontal="right"/>
    </xf>
    <xf numFmtId="184" fontId="5" fillId="0" borderId="0" xfId="260" applyNumberFormat="1" applyFont="1" applyProtection="1"/>
    <xf numFmtId="183" fontId="5" fillId="0" borderId="0" xfId="260" applyNumberFormat="1" applyFont="1" applyProtection="1"/>
    <xf numFmtId="3" fontId="6" fillId="0" borderId="0" xfId="260" applyNumberFormat="1" applyFont="1" applyAlignment="1" applyProtection="1">
      <alignment horizontal="right" vertical="center"/>
    </xf>
    <xf numFmtId="43" fontId="5" fillId="0" borderId="0" xfId="260" applyNumberFormat="1" applyFont="1" applyProtection="1"/>
    <xf numFmtId="173" fontId="5" fillId="0" borderId="6" xfId="86" applyNumberFormat="1" applyFont="1" applyFill="1" applyBorder="1" applyAlignment="1" applyProtection="1"/>
    <xf numFmtId="0" fontId="2" fillId="0" borderId="0" xfId="0" applyFont="1" applyAlignment="1">
      <alignment horizontal="center" wrapText="1"/>
    </xf>
    <xf numFmtId="0" fontId="5" fillId="0" borderId="0" xfId="0" applyFont="1" applyAlignment="1">
      <alignment horizontal="left" vertical="top" wrapText="1"/>
    </xf>
    <xf numFmtId="172" fontId="5" fillId="0" borderId="0" xfId="260" applyFont="1" applyAlignment="1" applyProtection="1">
      <alignment horizontal="left" wrapText="1"/>
    </xf>
    <xf numFmtId="0" fontId="5" fillId="0" borderId="0" xfId="260" applyNumberFormat="1" applyFont="1" applyAlignment="1" applyProtection="1">
      <alignment vertical="top" wrapText="1"/>
    </xf>
    <xf numFmtId="0" fontId="12" fillId="0" borderId="0" xfId="0" applyFont="1"/>
    <xf numFmtId="0" fontId="26" fillId="0" borderId="0" xfId="260" applyNumberFormat="1" applyFont="1" applyAlignment="1" applyProtection="1">
      <alignment horizontal="left" wrapText="1"/>
    </xf>
    <xf numFmtId="172" fontId="5" fillId="0" borderId="0" xfId="260" applyFont="1" applyAlignment="1" applyProtection="1">
      <alignment horizontal="justify" wrapText="1"/>
    </xf>
    <xf numFmtId="0" fontId="12" fillId="0" borderId="0" xfId="0" applyFont="1" applyAlignment="1">
      <alignment horizontal="justify" wrapText="1"/>
    </xf>
    <xf numFmtId="172" fontId="26" fillId="0" borderId="0" xfId="260" applyFont="1" applyAlignment="1" applyProtection="1">
      <alignment vertical="top" wrapText="1"/>
    </xf>
    <xf numFmtId="0" fontId="26" fillId="0" borderId="0" xfId="0" applyFont="1" applyAlignment="1">
      <alignment vertical="top" wrapText="1"/>
    </xf>
    <xf numFmtId="172" fontId="26" fillId="0" borderId="0" xfId="260" applyFont="1" applyAlignment="1" applyProtection="1">
      <alignment wrapText="1"/>
    </xf>
    <xf numFmtId="172" fontId="5" fillId="0" borderId="0" xfId="260" applyFont="1" applyAlignment="1" applyProtection="1">
      <alignment vertical="top" wrapText="1"/>
    </xf>
    <xf numFmtId="172" fontId="107" fillId="0" borderId="0" xfId="260" applyFont="1" applyAlignment="1" applyProtection="1">
      <alignment wrapText="1"/>
    </xf>
    <xf numFmtId="0" fontId="12" fillId="0" borderId="0" xfId="0" applyFont="1" applyAlignment="1">
      <alignment wrapText="1"/>
    </xf>
    <xf numFmtId="0" fontId="32" fillId="0" borderId="0" xfId="0" applyFont="1" applyAlignment="1">
      <alignment wrapText="1"/>
    </xf>
    <xf numFmtId="0" fontId="5" fillId="0" borderId="0" xfId="260" applyNumberFormat="1" applyFont="1" applyAlignment="1" applyProtection="1">
      <alignment wrapText="1"/>
    </xf>
    <xf numFmtId="0" fontId="5" fillId="32" borderId="0" xfId="260" applyNumberFormat="1" applyFont="1" applyFill="1" applyAlignment="1" applyProtection="1">
      <alignment horizontal="left" vertical="top" wrapText="1"/>
    </xf>
    <xf numFmtId="3" fontId="108" fillId="31" borderId="0" xfId="260" applyNumberFormat="1" applyFont="1" applyFill="1" applyAlignment="1" applyProtection="1">
      <alignment horizontal="center"/>
    </xf>
    <xf numFmtId="3" fontId="10" fillId="0" borderId="0" xfId="260" applyNumberFormat="1" applyFont="1" applyAlignment="1" applyProtection="1">
      <alignment horizontal="center"/>
    </xf>
    <xf numFmtId="0" fontId="5" fillId="0" borderId="0" xfId="0" applyFont="1" applyAlignment="1">
      <alignment wrapText="1"/>
    </xf>
    <xf numFmtId="172" fontId="77" fillId="0" borderId="0" xfId="260" applyFont="1" applyAlignment="1" applyProtection="1">
      <alignment horizontal="left" wrapText="1"/>
    </xf>
    <xf numFmtId="49" fontId="5" fillId="0" borderId="0" xfId="260" applyNumberFormat="1" applyFont="1" applyAlignment="1" applyProtection="1">
      <alignment horizontal="center"/>
    </xf>
    <xf numFmtId="0" fontId="32" fillId="0" borderId="0" xfId="0" applyFont="1" applyAlignment="1">
      <alignment horizontal="center"/>
    </xf>
    <xf numFmtId="0" fontId="10" fillId="0" borderId="0" xfId="260" applyNumberFormat="1" applyFont="1" applyAlignment="1" applyProtection="1">
      <alignment horizontal="center"/>
    </xf>
    <xf numFmtId="0" fontId="13" fillId="0" borderId="0" xfId="0" applyFont="1"/>
    <xf numFmtId="0" fontId="0" fillId="0" borderId="0" xfId="0" applyAlignment="1">
      <alignment horizontal="center"/>
    </xf>
    <xf numFmtId="172" fontId="6" fillId="0" borderId="11" xfId="260" applyFont="1" applyBorder="1" applyAlignment="1" applyProtection="1">
      <alignment horizontal="center"/>
    </xf>
    <xf numFmtId="0" fontId="2" fillId="0" borderId="0" xfId="264" applyFont="1" applyAlignment="1">
      <alignment horizontal="left" wrapText="1"/>
    </xf>
    <xf numFmtId="0" fontId="5" fillId="0" borderId="0" xfId="0" applyFont="1" applyAlignment="1">
      <alignment horizontal="center"/>
    </xf>
    <xf numFmtId="0" fontId="5" fillId="0" borderId="0" xfId="211" applyFont="1" applyAlignment="1">
      <alignment horizontal="center"/>
    </xf>
    <xf numFmtId="3" fontId="5" fillId="0" borderId="0" xfId="211" applyNumberFormat="1" applyFont="1" applyAlignment="1">
      <alignment horizontal="center"/>
    </xf>
    <xf numFmtId="0" fontId="9" fillId="0" borderId="45" xfId="264" applyFont="1" applyBorder="1" applyAlignment="1">
      <alignment horizontal="center" wrapText="1"/>
    </xf>
    <xf numFmtId="0" fontId="9" fillId="0" borderId="13" xfId="264" applyFont="1" applyBorder="1" applyAlignment="1">
      <alignment horizontal="center" wrapText="1"/>
    </xf>
    <xf numFmtId="0" fontId="9" fillId="0" borderId="46" xfId="264" applyFont="1" applyBorder="1" applyAlignment="1">
      <alignment horizontal="center" wrapText="1"/>
    </xf>
    <xf numFmtId="0" fontId="9" fillId="0" borderId="45" xfId="0" applyFont="1" applyBorder="1" applyAlignment="1">
      <alignment horizontal="center"/>
    </xf>
    <xf numFmtId="0" fontId="9" fillId="0" borderId="13" xfId="0" applyFont="1" applyBorder="1" applyAlignment="1">
      <alignment horizontal="center"/>
    </xf>
    <xf numFmtId="0" fontId="9" fillId="0" borderId="46" xfId="0" applyFont="1" applyBorder="1" applyAlignment="1">
      <alignment horizontal="center"/>
    </xf>
    <xf numFmtId="0" fontId="40" fillId="0" borderId="0" xfId="253" applyFont="1" applyAlignment="1">
      <alignment horizontal="center" wrapText="1"/>
    </xf>
    <xf numFmtId="0" fontId="63" fillId="0" borderId="11" xfId="0" applyFont="1" applyBorder="1" applyAlignment="1">
      <alignment horizontal="center" wrapText="1"/>
    </xf>
    <xf numFmtId="3" fontId="5" fillId="0" borderId="0" xfId="0" applyNumberFormat="1" applyFont="1" applyAlignment="1">
      <alignment horizontal="center"/>
    </xf>
    <xf numFmtId="0" fontId="40" fillId="0" borderId="0" xfId="211" quotePrefix="1" applyFont="1" applyAlignment="1">
      <alignment horizontal="center" wrapText="1"/>
    </xf>
    <xf numFmtId="41" fontId="24" fillId="30" borderId="32" xfId="254" applyNumberFormat="1" applyFont="1" applyFill="1" applyBorder="1" applyAlignment="1" applyProtection="1">
      <alignment horizontal="left" vertical="center" wrapText="1"/>
      <protection locked="0"/>
    </xf>
    <xf numFmtId="0" fontId="24" fillId="0" borderId="0" xfId="214" applyFont="1" applyAlignment="1">
      <alignment horizontal="center" wrapText="1"/>
    </xf>
    <xf numFmtId="0" fontId="24" fillId="0" borderId="0" xfId="214" applyFont="1" applyAlignment="1">
      <alignment horizontal="left" vertical="top" wrapText="1"/>
    </xf>
    <xf numFmtId="0" fontId="24" fillId="0" borderId="11" xfId="214" applyFont="1" applyBorder="1" applyAlignment="1">
      <alignment horizontal="center"/>
    </xf>
    <xf numFmtId="0" fontId="24" fillId="0" borderId="11" xfId="0" applyFont="1" applyBorder="1" applyAlignment="1">
      <alignment horizontal="center"/>
    </xf>
    <xf numFmtId="0" fontId="24" fillId="0" borderId="11" xfId="214" applyFont="1" applyBorder="1" applyAlignment="1">
      <alignment horizontal="center" wrapText="1"/>
    </xf>
    <xf numFmtId="0" fontId="25" fillId="0" borderId="0" xfId="214" applyFont="1" applyAlignment="1">
      <alignment horizontal="center" wrapText="1"/>
    </xf>
    <xf numFmtId="2" fontId="2" fillId="0" borderId="0" xfId="339" applyNumberFormat="1" applyAlignment="1">
      <alignment horizontal="left"/>
    </xf>
    <xf numFmtId="41" fontId="9" fillId="0" borderId="0" xfId="343" applyNumberFormat="1" applyFont="1" applyAlignment="1" applyProtection="1">
      <alignment horizontal="center"/>
      <protection locked="0"/>
    </xf>
    <xf numFmtId="0" fontId="2" fillId="0" borderId="0" xfId="339" applyAlignment="1">
      <alignment vertical="center" wrapText="1"/>
    </xf>
    <xf numFmtId="0" fontId="2" fillId="0" borderId="0" xfId="339" applyAlignment="1">
      <alignment horizontal="left" vertical="top" wrapText="1"/>
    </xf>
    <xf numFmtId="0" fontId="2" fillId="0" borderId="0" xfId="339" applyAlignment="1">
      <alignment horizontal="left" wrapText="1"/>
    </xf>
    <xf numFmtId="0" fontId="81" fillId="0" borderId="0" xfId="211" applyFont="1" applyAlignment="1">
      <alignment horizontal="center"/>
    </xf>
    <xf numFmtId="0" fontId="12" fillId="0" borderId="0" xfId="211" applyAlignment="1">
      <alignment horizontal="left" wrapText="1"/>
    </xf>
    <xf numFmtId="0" fontId="81" fillId="0" borderId="0" xfId="253" applyFont="1" applyAlignment="1">
      <alignment horizontal="center"/>
    </xf>
    <xf numFmtId="0" fontId="17" fillId="0" borderId="0" xfId="253" applyFont="1" applyAlignment="1">
      <alignment horizontal="center" wrapText="1"/>
    </xf>
    <xf numFmtId="0" fontId="13" fillId="0" borderId="0" xfId="0" applyFont="1" applyAlignment="1">
      <alignment horizontal="center" wrapText="1"/>
    </xf>
    <xf numFmtId="0" fontId="17" fillId="0" borderId="0" xfId="211" quotePrefix="1" applyFont="1" applyAlignment="1">
      <alignment horizontal="center" wrapText="1"/>
    </xf>
    <xf numFmtId="0" fontId="81" fillId="0" borderId="0" xfId="0" applyFont="1" applyAlignment="1">
      <alignment horizontal="center"/>
    </xf>
    <xf numFmtId="172" fontId="109" fillId="0" borderId="0" xfId="260" applyFont="1" applyAlignment="1" applyProtection="1">
      <alignment wrapText="1"/>
    </xf>
    <xf numFmtId="0" fontId="120" fillId="0" borderId="0" xfId="0" applyFont="1" applyAlignment="1">
      <alignment wrapText="1"/>
    </xf>
    <xf numFmtId="172" fontId="12" fillId="0" borderId="0" xfId="260" applyFont="1" applyAlignment="1" applyProtection="1">
      <alignment horizontal="left" vertical="top" wrapText="1"/>
    </xf>
    <xf numFmtId="0" fontId="94" fillId="0" borderId="0" xfId="265" applyFont="1" applyAlignment="1">
      <alignment wrapText="1"/>
    </xf>
    <xf numFmtId="3" fontId="4" fillId="0" borderId="0" xfId="0" applyNumberFormat="1" applyFont="1" applyAlignment="1">
      <alignment horizontal="center"/>
    </xf>
    <xf numFmtId="0" fontId="10" fillId="0" borderId="0" xfId="265" applyFont="1" applyAlignment="1">
      <alignment horizontal="center"/>
    </xf>
    <xf numFmtId="0" fontId="74" fillId="0" borderId="11" xfId="261" applyFont="1" applyBorder="1" applyAlignment="1">
      <alignment horizontal="center"/>
    </xf>
    <xf numFmtId="0" fontId="71" fillId="0" borderId="0" xfId="261" applyFont="1" applyAlignment="1">
      <alignment horizontal="left" wrapText="1"/>
    </xf>
    <xf numFmtId="0" fontId="0" fillId="0" borderId="0" xfId="0"/>
    <xf numFmtId="0" fontId="71" fillId="0" borderId="0" xfId="261" applyFont="1" applyAlignment="1">
      <alignment wrapText="1"/>
    </xf>
    <xf numFmtId="49" fontId="5" fillId="0" borderId="0" xfId="86" applyNumberFormat="1" applyFont="1" applyAlignment="1">
      <alignment horizontal="center"/>
    </xf>
    <xf numFmtId="0" fontId="4" fillId="0" borderId="0" xfId="211" applyFont="1" applyAlignment="1">
      <alignment horizontal="center"/>
    </xf>
    <xf numFmtId="0" fontId="4" fillId="0" borderId="0" xfId="0" applyFont="1" applyAlignment="1">
      <alignment horizontal="center"/>
    </xf>
    <xf numFmtId="0" fontId="156" fillId="30" borderId="0" xfId="0" applyFont="1" applyFill="1" applyAlignment="1" applyProtection="1">
      <alignment horizontal="left" vertical="top" wrapText="1"/>
      <protection locked="0"/>
    </xf>
    <xf numFmtId="0" fontId="0" fillId="0" borderId="0" xfId="0" applyAlignment="1">
      <alignment horizontal="left" wrapText="1"/>
    </xf>
    <xf numFmtId="173" fontId="95" fillId="0" borderId="0" xfId="86" applyNumberFormat="1" applyFont="1" applyBorder="1" applyAlignment="1" applyProtection="1">
      <alignment horizontal="center"/>
    </xf>
    <xf numFmtId="0" fontId="4" fillId="0" borderId="0" xfId="0" applyFont="1" applyAlignment="1">
      <alignment wrapText="1"/>
    </xf>
    <xf numFmtId="0" fontId="0" fillId="0" borderId="0" xfId="0" applyAlignment="1">
      <alignment wrapText="1"/>
    </xf>
    <xf numFmtId="0" fontId="0" fillId="0" borderId="0" xfId="0" applyAlignment="1">
      <alignment horizontal="left" vertical="center" wrapText="1"/>
    </xf>
    <xf numFmtId="172" fontId="2" fillId="0" borderId="23" xfId="260" applyFont="1" applyBorder="1" applyAlignment="1" applyProtection="1">
      <alignment wrapText="1"/>
    </xf>
    <xf numFmtId="0" fontId="2" fillId="0" borderId="17" xfId="0" applyFont="1" applyBorder="1" applyAlignment="1">
      <alignment wrapText="1"/>
    </xf>
    <xf numFmtId="0" fontId="2" fillId="0" borderId="24" xfId="0" applyFont="1" applyBorder="1" applyAlignment="1">
      <alignment wrapText="1"/>
    </xf>
    <xf numFmtId="0" fontId="2" fillId="0" borderId="19" xfId="0" applyFont="1" applyBorder="1" applyAlignment="1">
      <alignment wrapText="1"/>
    </xf>
    <xf numFmtId="0" fontId="2" fillId="0" borderId="0" xfId="0" applyFont="1" applyAlignment="1">
      <alignment wrapText="1"/>
    </xf>
    <xf numFmtId="0" fontId="2" fillId="0" borderId="20" xfId="0" applyFont="1" applyBorder="1" applyAlignment="1">
      <alignment wrapText="1"/>
    </xf>
    <xf numFmtId="0" fontId="12" fillId="32" borderId="0" xfId="0" applyFont="1" applyFill="1" applyAlignment="1">
      <alignment wrapText="1"/>
    </xf>
    <xf numFmtId="0" fontId="0" fillId="32" borderId="0" xfId="0" applyFill="1" applyAlignment="1">
      <alignment wrapText="1"/>
    </xf>
    <xf numFmtId="0" fontId="12" fillId="0" borderId="0" xfId="255" applyAlignment="1">
      <alignment horizontal="left" wrapText="1"/>
    </xf>
    <xf numFmtId="0" fontId="12" fillId="0" borderId="0" xfId="185" applyAlignment="1">
      <alignment wrapText="1"/>
    </xf>
    <xf numFmtId="0" fontId="112" fillId="0" borderId="0" xfId="255" applyFont="1" applyAlignment="1">
      <alignment horizontal="left" wrapText="1"/>
    </xf>
    <xf numFmtId="0" fontId="63" fillId="0" borderId="0" xfId="166" applyFont="1" applyAlignment="1">
      <alignment horizontal="left" vertical="top" wrapText="1"/>
    </xf>
    <xf numFmtId="41" fontId="9" fillId="0" borderId="0" xfId="255" applyNumberFormat="1" applyFont="1" applyAlignment="1">
      <alignment horizontal="center" wrapText="1"/>
    </xf>
    <xf numFmtId="0" fontId="5" fillId="0" borderId="0" xfId="166" applyFont="1" applyAlignment="1">
      <alignment horizontal="center"/>
    </xf>
    <xf numFmtId="0" fontId="9" fillId="0" borderId="45" xfId="166" applyFont="1" applyBorder="1" applyAlignment="1">
      <alignment horizontal="center"/>
    </xf>
    <xf numFmtId="0" fontId="9" fillId="0" borderId="13" xfId="166" applyFont="1" applyBorder="1" applyAlignment="1">
      <alignment horizontal="center"/>
    </xf>
    <xf numFmtId="0" fontId="9" fillId="0" borderId="46" xfId="166" applyFont="1" applyBorder="1" applyAlignment="1">
      <alignment horizontal="center"/>
    </xf>
    <xf numFmtId="0" fontId="94" fillId="0" borderId="0" xfId="0" applyFont="1" applyAlignment="1">
      <alignment horizontal="center" wrapText="1"/>
    </xf>
    <xf numFmtId="0" fontId="9" fillId="0" borderId="0" xfId="0" applyFont="1" applyAlignment="1">
      <alignment horizontal="center" wrapText="1"/>
    </xf>
    <xf numFmtId="0" fontId="20" fillId="30" borderId="0" xfId="0" applyFont="1" applyFill="1" applyAlignment="1" applyProtection="1">
      <alignment wrapText="1"/>
      <protection locked="0"/>
    </xf>
    <xf numFmtId="0" fontId="9" fillId="0" borderId="0" xfId="0" applyFont="1" applyAlignment="1">
      <alignment horizontal="left" wrapText="1"/>
    </xf>
    <xf numFmtId="0" fontId="140" fillId="0" borderId="0" xfId="0" applyFont="1" applyAlignment="1">
      <alignment horizontal="left" vertical="center" wrapText="1"/>
    </xf>
    <xf numFmtId="0" fontId="140" fillId="0" borderId="0" xfId="211" applyFont="1" applyAlignment="1">
      <alignment horizontal="center"/>
    </xf>
    <xf numFmtId="3" fontId="140" fillId="0" borderId="0" xfId="211" applyNumberFormat="1" applyFont="1" applyAlignment="1">
      <alignment horizontal="center"/>
    </xf>
    <xf numFmtId="0" fontId="77" fillId="0" borderId="11" xfId="263" applyFont="1" applyBorder="1" applyAlignment="1">
      <alignment wrapText="1"/>
    </xf>
    <xf numFmtId="0" fontId="0" fillId="0" borderId="11" xfId="0" applyBorder="1" applyAlignment="1">
      <alignment wrapText="1"/>
    </xf>
    <xf numFmtId="0" fontId="6" fillId="0" borderId="0" xfId="263" applyFont="1" applyAlignment="1">
      <alignment horizontal="left" wrapText="1"/>
    </xf>
    <xf numFmtId="0" fontId="5" fillId="0" borderId="0" xfId="263" applyFont="1" applyAlignment="1">
      <alignment horizontal="left" wrapText="1"/>
    </xf>
    <xf numFmtId="0" fontId="102" fillId="0" borderId="0" xfId="263" applyFont="1" applyAlignment="1">
      <alignment horizontal="center"/>
    </xf>
    <xf numFmtId="3" fontId="102" fillId="0" borderId="0" xfId="263" applyNumberFormat="1" applyFont="1" applyAlignment="1">
      <alignment horizontal="center"/>
    </xf>
    <xf numFmtId="0" fontId="12" fillId="0" borderId="0" xfId="253" applyFont="1" applyAlignment="1">
      <alignment horizontal="left" vertical="top" wrapText="1"/>
    </xf>
    <xf numFmtId="0" fontId="9" fillId="0" borderId="0" xfId="267" applyFont="1" applyAlignment="1">
      <alignment horizontal="center"/>
    </xf>
    <xf numFmtId="0" fontId="77" fillId="0" borderId="0" xfId="0" applyFont="1" applyAlignment="1">
      <alignment horizontal="center"/>
    </xf>
    <xf numFmtId="0" fontId="6" fillId="0" borderId="0" xfId="0" applyFont="1" applyAlignment="1">
      <alignment horizontal="center"/>
    </xf>
    <xf numFmtId="0" fontId="122" fillId="0" borderId="0" xfId="0" applyFont="1" applyAlignment="1">
      <alignment horizontal="left" wrapText="1"/>
    </xf>
  </cellXfs>
  <cellStyles count="349">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00A" xfId="51" xr:uid="{00000000-0005-0000-0000-000032000000}"/>
    <cellStyle name="C00B" xfId="52" xr:uid="{00000000-0005-0000-0000-000033000000}"/>
    <cellStyle name="C00L" xfId="53" xr:uid="{00000000-0005-0000-0000-000034000000}"/>
    <cellStyle name="C01A" xfId="54" xr:uid="{00000000-0005-0000-0000-000035000000}"/>
    <cellStyle name="C01B" xfId="55" xr:uid="{00000000-0005-0000-0000-000036000000}"/>
    <cellStyle name="C01H" xfId="56" xr:uid="{00000000-0005-0000-0000-000037000000}"/>
    <cellStyle name="C01L" xfId="57" xr:uid="{00000000-0005-0000-0000-000038000000}"/>
    <cellStyle name="C02A" xfId="58" xr:uid="{00000000-0005-0000-0000-000039000000}"/>
    <cellStyle name="C02B" xfId="59" xr:uid="{00000000-0005-0000-0000-00003A000000}"/>
    <cellStyle name="C02H" xfId="60" xr:uid="{00000000-0005-0000-0000-00003B000000}"/>
    <cellStyle name="C02L" xfId="61" xr:uid="{00000000-0005-0000-0000-00003C000000}"/>
    <cellStyle name="C03A" xfId="62" xr:uid="{00000000-0005-0000-0000-00003D000000}"/>
    <cellStyle name="C03B" xfId="63" xr:uid="{00000000-0005-0000-0000-00003E000000}"/>
    <cellStyle name="C03H" xfId="64" xr:uid="{00000000-0005-0000-0000-00003F000000}"/>
    <cellStyle name="C03L" xfId="65" xr:uid="{00000000-0005-0000-0000-000040000000}"/>
    <cellStyle name="C04A" xfId="66" xr:uid="{00000000-0005-0000-0000-000041000000}"/>
    <cellStyle name="C04B" xfId="67" xr:uid="{00000000-0005-0000-0000-000042000000}"/>
    <cellStyle name="C04H" xfId="68" xr:uid="{00000000-0005-0000-0000-000043000000}"/>
    <cellStyle name="C04L" xfId="69" xr:uid="{00000000-0005-0000-0000-000044000000}"/>
    <cellStyle name="C05A" xfId="70" xr:uid="{00000000-0005-0000-0000-000045000000}"/>
    <cellStyle name="C05B" xfId="71" xr:uid="{00000000-0005-0000-0000-000046000000}"/>
    <cellStyle name="C05H" xfId="72" xr:uid="{00000000-0005-0000-0000-000047000000}"/>
    <cellStyle name="C05L" xfId="73" xr:uid="{00000000-0005-0000-0000-000048000000}"/>
    <cellStyle name="C06A" xfId="74" xr:uid="{00000000-0005-0000-0000-000049000000}"/>
    <cellStyle name="C06B" xfId="75" xr:uid="{00000000-0005-0000-0000-00004A000000}"/>
    <cellStyle name="C06H" xfId="76" xr:uid="{00000000-0005-0000-0000-00004B000000}"/>
    <cellStyle name="C06L" xfId="77" xr:uid="{00000000-0005-0000-0000-00004C000000}"/>
    <cellStyle name="C07A" xfId="78" xr:uid="{00000000-0005-0000-0000-00004D000000}"/>
    <cellStyle name="C07B" xfId="79" xr:uid="{00000000-0005-0000-0000-00004E000000}"/>
    <cellStyle name="C07H" xfId="80" xr:uid="{00000000-0005-0000-0000-00004F000000}"/>
    <cellStyle name="C07L" xfId="81" xr:uid="{00000000-0005-0000-0000-000050000000}"/>
    <cellStyle name="Calculation" xfId="82" builtinId="22" customBuiltin="1"/>
    <cellStyle name="Calculation 2" xfId="83" xr:uid="{00000000-0005-0000-0000-000052000000}"/>
    <cellStyle name="Check Cell" xfId="84" builtinId="23" customBuiltin="1"/>
    <cellStyle name="Check Cell 2" xfId="85" xr:uid="{00000000-0005-0000-0000-000054000000}"/>
    <cellStyle name="Comma" xfId="86" builtinId="3"/>
    <cellStyle name="Comma 12 2" xfId="87" xr:uid="{00000000-0005-0000-0000-000056000000}"/>
    <cellStyle name="Comma 2" xfId="88" xr:uid="{00000000-0005-0000-0000-000057000000}"/>
    <cellStyle name="Comma 2 2" xfId="89" xr:uid="{00000000-0005-0000-0000-000058000000}"/>
    <cellStyle name="Comma 2 2 2" xfId="348" xr:uid="{33395DB0-FEDF-4FAC-AE4C-8C1AAA61857E}"/>
    <cellStyle name="Comma 2 3" xfId="340" xr:uid="{BEDBB73B-978B-4F92-A12B-73915C51BF6E}"/>
    <cellStyle name="Comma 3" xfId="90" xr:uid="{00000000-0005-0000-0000-000059000000}"/>
    <cellStyle name="Comma 3 2" xfId="91" xr:uid="{00000000-0005-0000-0000-00005A000000}"/>
    <cellStyle name="Comma 3 3" xfId="92" xr:uid="{00000000-0005-0000-0000-00005B000000}"/>
    <cellStyle name="Comma 3 3 2" xfId="93" xr:uid="{00000000-0005-0000-0000-00005C000000}"/>
    <cellStyle name="Comma 3 3 3" xfId="94" xr:uid="{00000000-0005-0000-0000-00005D000000}"/>
    <cellStyle name="Comma 3 4" xfId="95" xr:uid="{00000000-0005-0000-0000-00005E000000}"/>
    <cellStyle name="Comma 3 4 2" xfId="96" xr:uid="{00000000-0005-0000-0000-00005F000000}"/>
    <cellStyle name="Comma 3 4 3" xfId="97" xr:uid="{00000000-0005-0000-0000-000060000000}"/>
    <cellStyle name="Comma 3 5" xfId="98" xr:uid="{00000000-0005-0000-0000-000061000000}"/>
    <cellStyle name="Comma 3 5 2" xfId="99" xr:uid="{00000000-0005-0000-0000-000062000000}"/>
    <cellStyle name="Comma 3 6" xfId="100" xr:uid="{00000000-0005-0000-0000-000063000000}"/>
    <cellStyle name="Comma 3 7" xfId="101" xr:uid="{00000000-0005-0000-0000-000064000000}"/>
    <cellStyle name="Comma 3 8" xfId="102" xr:uid="{00000000-0005-0000-0000-000065000000}"/>
    <cellStyle name="Comma 4 2" xfId="103" xr:uid="{00000000-0005-0000-0000-000066000000}"/>
    <cellStyle name="Comma 4 2 2" xfId="104" xr:uid="{00000000-0005-0000-0000-000067000000}"/>
    <cellStyle name="Comma 4 3" xfId="105" xr:uid="{00000000-0005-0000-0000-000068000000}"/>
    <cellStyle name="Comma 5 2" xfId="106" xr:uid="{00000000-0005-0000-0000-000069000000}"/>
    <cellStyle name="Comma 6" xfId="107" xr:uid="{00000000-0005-0000-0000-00006A000000}"/>
    <cellStyle name="Comma 6 2" xfId="108" xr:uid="{00000000-0005-0000-0000-00006B000000}"/>
    <cellStyle name="Comma 6 2 2" xfId="109" xr:uid="{00000000-0005-0000-0000-00006C000000}"/>
    <cellStyle name="Comma 6 3" xfId="110" xr:uid="{00000000-0005-0000-0000-00006D000000}"/>
    <cellStyle name="Comma 7" xfId="111" xr:uid="{00000000-0005-0000-0000-00006E000000}"/>
    <cellStyle name="Comma 8" xfId="112" xr:uid="{00000000-0005-0000-0000-00006F000000}"/>
    <cellStyle name="Comma 9" xfId="113" xr:uid="{00000000-0005-0000-0000-000070000000}"/>
    <cellStyle name="Comma_spp calc - revsd rev crd" xfId="114" xr:uid="{00000000-0005-0000-0000-000071000000}"/>
    <cellStyle name="Comma_spp calc - revsd rev crd 2" xfId="115" xr:uid="{00000000-0005-0000-0000-000072000000}"/>
    <cellStyle name="Comma0" xfId="116" xr:uid="{00000000-0005-0000-0000-000073000000}"/>
    <cellStyle name="Currency" xfId="117" builtinId="4"/>
    <cellStyle name="Currency 2" xfId="118" xr:uid="{00000000-0005-0000-0000-000075000000}"/>
    <cellStyle name="Currency 2 2" xfId="119" xr:uid="{00000000-0005-0000-0000-000076000000}"/>
    <cellStyle name="Currency 3" xfId="120" xr:uid="{00000000-0005-0000-0000-000077000000}"/>
    <cellStyle name="Currency 3 2" xfId="121" xr:uid="{00000000-0005-0000-0000-000078000000}"/>
    <cellStyle name="Currency 3 3" xfId="122" xr:uid="{00000000-0005-0000-0000-000079000000}"/>
    <cellStyle name="Currency 3 3 2" xfId="123" xr:uid="{00000000-0005-0000-0000-00007A000000}"/>
    <cellStyle name="Currency 3 3 3" xfId="124" xr:uid="{00000000-0005-0000-0000-00007B000000}"/>
    <cellStyle name="Currency 3 4" xfId="125" xr:uid="{00000000-0005-0000-0000-00007C000000}"/>
    <cellStyle name="Currency 3 4 2" xfId="126" xr:uid="{00000000-0005-0000-0000-00007D000000}"/>
    <cellStyle name="Currency 3 4 3" xfId="127" xr:uid="{00000000-0005-0000-0000-00007E000000}"/>
    <cellStyle name="Currency 3 5" xfId="128" xr:uid="{00000000-0005-0000-0000-00007F000000}"/>
    <cellStyle name="Currency 3 5 2" xfId="129" xr:uid="{00000000-0005-0000-0000-000080000000}"/>
    <cellStyle name="Currency 3 6" xfId="130" xr:uid="{00000000-0005-0000-0000-000081000000}"/>
    <cellStyle name="Currency 3 7" xfId="131" xr:uid="{00000000-0005-0000-0000-000082000000}"/>
    <cellStyle name="Currency 4 2" xfId="132" xr:uid="{00000000-0005-0000-0000-000083000000}"/>
    <cellStyle name="Currency 4 2 2" xfId="133" xr:uid="{00000000-0005-0000-0000-000084000000}"/>
    <cellStyle name="Currency 4 3" xfId="134" xr:uid="{00000000-0005-0000-0000-000085000000}"/>
    <cellStyle name="Currency 5 2" xfId="135" xr:uid="{00000000-0005-0000-0000-000086000000}"/>
    <cellStyle name="Currency 6" xfId="136" xr:uid="{00000000-0005-0000-0000-000087000000}"/>
    <cellStyle name="Currency 7" xfId="137" xr:uid="{00000000-0005-0000-0000-000088000000}"/>
    <cellStyle name="Currency0" xfId="138" xr:uid="{00000000-0005-0000-0000-000089000000}"/>
    <cellStyle name="Date" xfId="139" xr:uid="{00000000-0005-0000-0000-00008A000000}"/>
    <cellStyle name="Explanatory Text" xfId="140" builtinId="53" customBuiltin="1"/>
    <cellStyle name="Explanatory Text 2" xfId="141" xr:uid="{00000000-0005-0000-0000-00008C000000}"/>
    <cellStyle name="Fixed" xfId="142" xr:uid="{00000000-0005-0000-0000-00008D000000}"/>
    <cellStyle name="Good" xfId="143" builtinId="26" customBuiltin="1"/>
    <cellStyle name="Good 2" xfId="144" xr:uid="{00000000-0005-0000-0000-00008F000000}"/>
    <cellStyle name="Heading 1" xfId="145" builtinId="16" customBuiltin="1"/>
    <cellStyle name="Heading 1 2" xfId="146" xr:uid="{00000000-0005-0000-0000-000091000000}"/>
    <cellStyle name="Heading 2" xfId="147" builtinId="17" customBuiltin="1"/>
    <cellStyle name="Heading 2 2" xfId="148" xr:uid="{00000000-0005-0000-0000-000093000000}"/>
    <cellStyle name="Heading 3" xfId="149" builtinId="18" customBuiltin="1"/>
    <cellStyle name="Heading 3 2" xfId="150" xr:uid="{00000000-0005-0000-0000-000095000000}"/>
    <cellStyle name="Heading 4" xfId="151" builtinId="19" customBuiltin="1"/>
    <cellStyle name="Heading 4 2" xfId="152" xr:uid="{00000000-0005-0000-0000-000097000000}"/>
    <cellStyle name="Heading1" xfId="153" xr:uid="{00000000-0005-0000-0000-000098000000}"/>
    <cellStyle name="Heading2" xfId="154" xr:uid="{00000000-0005-0000-0000-000099000000}"/>
    <cellStyle name="Input" xfId="155" builtinId="20" customBuiltin="1"/>
    <cellStyle name="Input 2" xfId="156" xr:uid="{00000000-0005-0000-0000-00009B000000}"/>
    <cellStyle name="Linked Cell" xfId="157" builtinId="24" customBuiltin="1"/>
    <cellStyle name="Linked Cell 2" xfId="158" xr:uid="{00000000-0005-0000-0000-00009D000000}"/>
    <cellStyle name="Neutral" xfId="159" builtinId="28" customBuiltin="1"/>
    <cellStyle name="Neutral 2" xfId="160" xr:uid="{00000000-0005-0000-0000-00009F000000}"/>
    <cellStyle name="Normal" xfId="0" builtinId="0"/>
    <cellStyle name="Normal 10" xfId="161" xr:uid="{00000000-0005-0000-0000-0000A1000000}"/>
    <cellStyle name="Normal 10 2" xfId="162" xr:uid="{00000000-0005-0000-0000-0000A2000000}"/>
    <cellStyle name="Normal 10 3" xfId="163" xr:uid="{00000000-0005-0000-0000-0000A3000000}"/>
    <cellStyle name="Normal 10 4" xfId="164" xr:uid="{00000000-0005-0000-0000-0000A4000000}"/>
    <cellStyle name="Normal 11" xfId="165" xr:uid="{00000000-0005-0000-0000-0000A5000000}"/>
    <cellStyle name="Normal 11 2" xfId="166" xr:uid="{00000000-0005-0000-0000-0000A6000000}"/>
    <cellStyle name="Normal 11 3" xfId="167" xr:uid="{00000000-0005-0000-0000-0000A7000000}"/>
    <cellStyle name="Normal 11 4" xfId="168" xr:uid="{00000000-0005-0000-0000-0000A8000000}"/>
    <cellStyle name="Normal 12" xfId="169" xr:uid="{00000000-0005-0000-0000-0000A9000000}"/>
    <cellStyle name="Normal 12 2" xfId="170" xr:uid="{00000000-0005-0000-0000-0000AA000000}"/>
    <cellStyle name="Normal 12 4" xfId="171" xr:uid="{00000000-0005-0000-0000-0000AB000000}"/>
    <cellStyle name="Normal 13" xfId="172" xr:uid="{00000000-0005-0000-0000-0000AC000000}"/>
    <cellStyle name="Normal 13 2" xfId="173" xr:uid="{00000000-0005-0000-0000-0000AD000000}"/>
    <cellStyle name="Normal 14" xfId="174" xr:uid="{00000000-0005-0000-0000-0000AE000000}"/>
    <cellStyle name="Normal 14 2" xfId="175" xr:uid="{00000000-0005-0000-0000-0000AF000000}"/>
    <cellStyle name="Normal 15" xfId="176" xr:uid="{00000000-0005-0000-0000-0000B0000000}"/>
    <cellStyle name="Normal 16" xfId="177" xr:uid="{00000000-0005-0000-0000-0000B1000000}"/>
    <cellStyle name="Normal 16 2" xfId="178" xr:uid="{00000000-0005-0000-0000-0000B2000000}"/>
    <cellStyle name="Normal 17" xfId="179" xr:uid="{00000000-0005-0000-0000-0000B3000000}"/>
    <cellStyle name="Normal 17 2" xfId="180" xr:uid="{00000000-0005-0000-0000-0000B4000000}"/>
    <cellStyle name="Normal 18" xfId="181" xr:uid="{00000000-0005-0000-0000-0000B5000000}"/>
    <cellStyle name="Normal 18 2" xfId="182" xr:uid="{00000000-0005-0000-0000-0000B6000000}"/>
    <cellStyle name="Normal 19" xfId="183" xr:uid="{00000000-0005-0000-0000-0000B7000000}"/>
    <cellStyle name="Normal 19 2" xfId="184" xr:uid="{00000000-0005-0000-0000-0000B8000000}"/>
    <cellStyle name="Normal 2" xfId="185" xr:uid="{00000000-0005-0000-0000-0000B9000000}"/>
    <cellStyle name="Normal 2 2" xfId="186" xr:uid="{00000000-0005-0000-0000-0000BA000000}"/>
    <cellStyle name="Normal 2 2 2" xfId="187" xr:uid="{00000000-0005-0000-0000-0000BB000000}"/>
    <cellStyle name="Normal 2 2 3" xfId="188" xr:uid="{00000000-0005-0000-0000-0000BC000000}"/>
    <cellStyle name="Normal 2 2 4" xfId="189" xr:uid="{00000000-0005-0000-0000-0000BD000000}"/>
    <cellStyle name="Normal 2 3" xfId="190" xr:uid="{00000000-0005-0000-0000-0000BE000000}"/>
    <cellStyle name="Normal 2 4" xfId="339" xr:uid="{2BE52FB7-0E2B-4FBE-B7F2-916F7CEF1032}"/>
    <cellStyle name="Normal 2 5" xfId="191" xr:uid="{00000000-0005-0000-0000-0000BF000000}"/>
    <cellStyle name="Normal 2 5 2" xfId="192" xr:uid="{00000000-0005-0000-0000-0000C0000000}"/>
    <cellStyle name="Normal 20" xfId="193" xr:uid="{00000000-0005-0000-0000-0000C1000000}"/>
    <cellStyle name="Normal 20 2" xfId="194" xr:uid="{00000000-0005-0000-0000-0000C2000000}"/>
    <cellStyle name="Normal 21" xfId="195" xr:uid="{00000000-0005-0000-0000-0000C3000000}"/>
    <cellStyle name="Normal 21 2" xfId="196" xr:uid="{00000000-0005-0000-0000-0000C4000000}"/>
    <cellStyle name="Normal 22" xfId="197" xr:uid="{00000000-0005-0000-0000-0000C5000000}"/>
    <cellStyle name="Normal 22 2" xfId="198" xr:uid="{00000000-0005-0000-0000-0000C6000000}"/>
    <cellStyle name="Normal 23" xfId="199" xr:uid="{00000000-0005-0000-0000-0000C7000000}"/>
    <cellStyle name="Normal 23 2" xfId="200" xr:uid="{00000000-0005-0000-0000-0000C8000000}"/>
    <cellStyle name="Normal 24" xfId="201" xr:uid="{00000000-0005-0000-0000-0000C9000000}"/>
    <cellStyle name="Normal 24 2" xfId="202" xr:uid="{00000000-0005-0000-0000-0000CA000000}"/>
    <cellStyle name="Normal 25" xfId="203" xr:uid="{00000000-0005-0000-0000-0000CB000000}"/>
    <cellStyle name="Normal 25 2" xfId="204" xr:uid="{00000000-0005-0000-0000-0000CC000000}"/>
    <cellStyle name="Normal 26" xfId="205" xr:uid="{00000000-0005-0000-0000-0000CD000000}"/>
    <cellStyle name="Normal 26 2" xfId="206" xr:uid="{00000000-0005-0000-0000-0000CE000000}"/>
    <cellStyle name="Normal 27" xfId="207" xr:uid="{00000000-0005-0000-0000-0000CF000000}"/>
    <cellStyle name="Normal 28" xfId="208" xr:uid="{00000000-0005-0000-0000-0000D0000000}"/>
    <cellStyle name="Normal 29" xfId="209" xr:uid="{00000000-0005-0000-0000-0000D1000000}"/>
    <cellStyle name="Normal 3" xfId="210" xr:uid="{00000000-0005-0000-0000-0000D2000000}"/>
    <cellStyle name="Normal 3 2" xfId="211" xr:uid="{00000000-0005-0000-0000-0000D3000000}"/>
    <cellStyle name="Normal 3 2 2" xfId="347" xr:uid="{083D64FC-28C0-4B8D-A0FC-752C21078657}"/>
    <cellStyle name="Normal 3 2 4" xfId="345" xr:uid="{B8728E75-6547-4F0D-A1F5-E7A133308118}"/>
    <cellStyle name="Normal 3 3" xfId="212" xr:uid="{00000000-0005-0000-0000-0000D4000000}"/>
    <cellStyle name="Normal 3_Attach O, GG, Support -New Method 2-14-11" xfId="213" xr:uid="{00000000-0005-0000-0000-0000D5000000}"/>
    <cellStyle name="Normal 31 2" xfId="214" xr:uid="{00000000-0005-0000-0000-0000D6000000}"/>
    <cellStyle name="Normal 31 2 2" xfId="341" xr:uid="{F95B3FB2-21BC-4097-BA6F-A590F1B22AD9}"/>
    <cellStyle name="Normal 4" xfId="215" xr:uid="{00000000-0005-0000-0000-0000D7000000}"/>
    <cellStyle name="Normal 4 2" xfId="216" xr:uid="{00000000-0005-0000-0000-0000D8000000}"/>
    <cellStyle name="Normal 4 3" xfId="217" xr:uid="{00000000-0005-0000-0000-0000D9000000}"/>
    <cellStyle name="Normal 4 3 2" xfId="218" xr:uid="{00000000-0005-0000-0000-0000DA000000}"/>
    <cellStyle name="Normal 4 3 3" xfId="219" xr:uid="{00000000-0005-0000-0000-0000DB000000}"/>
    <cellStyle name="Normal 4 4" xfId="220" xr:uid="{00000000-0005-0000-0000-0000DC000000}"/>
    <cellStyle name="Normal 4 4 2" xfId="221" xr:uid="{00000000-0005-0000-0000-0000DD000000}"/>
    <cellStyle name="Normal 4 4 3" xfId="222" xr:uid="{00000000-0005-0000-0000-0000DE000000}"/>
    <cellStyle name="Normal 4 5" xfId="223" xr:uid="{00000000-0005-0000-0000-0000DF000000}"/>
    <cellStyle name="Normal 4 5 2" xfId="224" xr:uid="{00000000-0005-0000-0000-0000E0000000}"/>
    <cellStyle name="Normal 4 6" xfId="225" xr:uid="{00000000-0005-0000-0000-0000E1000000}"/>
    <cellStyle name="Normal 4 7" xfId="226" xr:uid="{00000000-0005-0000-0000-0000E2000000}"/>
    <cellStyle name="Normal 4 8" xfId="227" xr:uid="{00000000-0005-0000-0000-0000E3000000}"/>
    <cellStyle name="Normal 4_PBOP Exhibit 1" xfId="228" xr:uid="{00000000-0005-0000-0000-0000E4000000}"/>
    <cellStyle name="Normal 5" xfId="342" xr:uid="{C301FC54-A18D-41EE-AE3B-485F8A502133}"/>
    <cellStyle name="Normal 5 2" xfId="229" xr:uid="{00000000-0005-0000-0000-0000E5000000}"/>
    <cellStyle name="Normal 5 2 2" xfId="230" xr:uid="{00000000-0005-0000-0000-0000E6000000}"/>
    <cellStyle name="Normal 5 2 3" xfId="231" xr:uid="{00000000-0005-0000-0000-0000E7000000}"/>
    <cellStyle name="Normal 5 3" xfId="232" xr:uid="{00000000-0005-0000-0000-0000E8000000}"/>
    <cellStyle name="Normal 5 4" xfId="233" xr:uid="{00000000-0005-0000-0000-0000E9000000}"/>
    <cellStyle name="Normal 5 4 2" xfId="234" xr:uid="{00000000-0005-0000-0000-0000EA000000}"/>
    <cellStyle name="Normal 6 2" xfId="235" xr:uid="{00000000-0005-0000-0000-0000EB000000}"/>
    <cellStyle name="Normal 6 2 2" xfId="236" xr:uid="{00000000-0005-0000-0000-0000EC000000}"/>
    <cellStyle name="Normal 6 2 3" xfId="237" xr:uid="{00000000-0005-0000-0000-0000ED000000}"/>
    <cellStyle name="Normal 6 2 4" xfId="238" xr:uid="{00000000-0005-0000-0000-0000EE000000}"/>
    <cellStyle name="Normal 6 3" xfId="239" xr:uid="{00000000-0005-0000-0000-0000EF000000}"/>
    <cellStyle name="Normal 6 3 2" xfId="240" xr:uid="{00000000-0005-0000-0000-0000F0000000}"/>
    <cellStyle name="Normal 6 4" xfId="241" xr:uid="{00000000-0005-0000-0000-0000F1000000}"/>
    <cellStyle name="Normal 6 5" xfId="242" xr:uid="{00000000-0005-0000-0000-0000F2000000}"/>
    <cellStyle name="Normal 7" xfId="243" xr:uid="{00000000-0005-0000-0000-0000F3000000}"/>
    <cellStyle name="Normal 7 2" xfId="244" xr:uid="{00000000-0005-0000-0000-0000F4000000}"/>
    <cellStyle name="Normal 7 3" xfId="245" xr:uid="{00000000-0005-0000-0000-0000F5000000}"/>
    <cellStyle name="Normal 8" xfId="246" xr:uid="{00000000-0005-0000-0000-0000F6000000}"/>
    <cellStyle name="Normal 8 2" xfId="247" xr:uid="{00000000-0005-0000-0000-0000F7000000}"/>
    <cellStyle name="Normal 8 3" xfId="248" xr:uid="{00000000-0005-0000-0000-0000F8000000}"/>
    <cellStyle name="Normal 9" xfId="249" xr:uid="{00000000-0005-0000-0000-0000F9000000}"/>
    <cellStyle name="Normal 9 2" xfId="250" xr:uid="{00000000-0005-0000-0000-0000FA000000}"/>
    <cellStyle name="Normal 9 3" xfId="251" xr:uid="{00000000-0005-0000-0000-0000FB000000}"/>
    <cellStyle name="Normal_21 Exh B" xfId="252" xr:uid="{00000000-0005-0000-0000-0000FC000000}"/>
    <cellStyle name="Normal_ADITAnalysisID090805" xfId="253" xr:uid="{00000000-0005-0000-0000-0000FD000000}"/>
    <cellStyle name="Normal_ADITAnalysisID090805 2" xfId="254" xr:uid="{00000000-0005-0000-0000-0000FE000000}"/>
    <cellStyle name="Normal_ADITAnalysisID090805 2 2" xfId="255" xr:uid="{00000000-0005-0000-0000-0000FF000000}"/>
    <cellStyle name="Normal_ADITAnalysisID090805 2 3" xfId="343" xr:uid="{A771BAA6-89F8-4974-9718-2A72D0E585EE}"/>
    <cellStyle name="Normal_ADITAnalysisID090805 3" xfId="256" xr:uid="{00000000-0005-0000-0000-000000010000}"/>
    <cellStyle name="Normal_ATC Projected 2008 Monthly Plant Balances for Attachment O 2 (2)" xfId="257" xr:uid="{00000000-0005-0000-0000-000001010000}"/>
    <cellStyle name="Normal_AU Period 2 Rev 4-27-00" xfId="258" xr:uid="{00000000-0005-0000-0000-000002010000}"/>
    <cellStyle name="Normal_Copy of PATH Formula Rate 2010 Projection Filed Sept 1, 2009 R1" xfId="259" xr:uid="{00000000-0005-0000-0000-000003010000}"/>
    <cellStyle name="Normal_FN1 Ratebase Draft SPP template (6-11-04) v2" xfId="260" xr:uid="{00000000-0005-0000-0000-000004010000}"/>
    <cellStyle name="Normal_I&amp;M-AK-1" xfId="261" xr:uid="{00000000-0005-0000-0000-000005010000}"/>
    <cellStyle name="Normal_IM LTD Hedge Entries 2" xfId="262" xr:uid="{00000000-0005-0000-0000-000006010000}"/>
    <cellStyle name="Normal_Revised 1-21-10  Deprec Summary" xfId="263" xr:uid="{00000000-0005-0000-0000-000007010000}"/>
    <cellStyle name="Normal_Schedule O Info for Mike" xfId="264" xr:uid="{00000000-0005-0000-0000-000008010000}"/>
    <cellStyle name="Normal_Schedule O Info for Mike 2" xfId="346" xr:uid="{884CE5D7-0A73-40CD-9694-6DDB0663EA6B}"/>
    <cellStyle name="Normal_spp calc - revsd rev crd" xfId="265" xr:uid="{00000000-0005-0000-0000-000009010000}"/>
    <cellStyle name="Normal_spp calc - revsd rev crd 2" xfId="266" xr:uid="{00000000-0005-0000-0000-00000A010000}"/>
    <cellStyle name="Normal_Worksheet Q Draft dwb edits" xfId="267" xr:uid="{00000000-0005-0000-0000-00000B010000}"/>
    <cellStyle name="Note" xfId="268" builtinId="10" customBuiltin="1"/>
    <cellStyle name="Note 2" xfId="269" xr:uid="{00000000-0005-0000-0000-00000D010000}"/>
    <cellStyle name="Output" xfId="270" builtinId="21" customBuiltin="1"/>
    <cellStyle name="Output 2" xfId="271" xr:uid="{00000000-0005-0000-0000-00000F010000}"/>
    <cellStyle name="Percent" xfId="272" builtinId="5"/>
    <cellStyle name="Percent 2" xfId="273" xr:uid="{00000000-0005-0000-0000-000011010000}"/>
    <cellStyle name="Percent 2 2" xfId="274" xr:uid="{00000000-0005-0000-0000-000012010000}"/>
    <cellStyle name="Percent 3" xfId="275" xr:uid="{00000000-0005-0000-0000-000013010000}"/>
    <cellStyle name="Percent 3 2" xfId="276" xr:uid="{00000000-0005-0000-0000-000014010000}"/>
    <cellStyle name="Percent 3 2 2" xfId="344" xr:uid="{C6A4E9E8-3C3F-44ED-BC30-9E1C31127A7C}"/>
    <cellStyle name="Percent 3 3" xfId="277" xr:uid="{00000000-0005-0000-0000-000015010000}"/>
    <cellStyle name="Percent 3 3 2" xfId="278" xr:uid="{00000000-0005-0000-0000-000016010000}"/>
    <cellStyle name="Percent 3 3 3" xfId="279" xr:uid="{00000000-0005-0000-0000-000017010000}"/>
    <cellStyle name="Percent 3 4" xfId="280" xr:uid="{00000000-0005-0000-0000-000018010000}"/>
    <cellStyle name="Percent 3 4 2" xfId="281" xr:uid="{00000000-0005-0000-0000-000019010000}"/>
    <cellStyle name="Percent 3 4 3" xfId="282" xr:uid="{00000000-0005-0000-0000-00001A010000}"/>
    <cellStyle name="Percent 3 5" xfId="283" xr:uid="{00000000-0005-0000-0000-00001B010000}"/>
    <cellStyle name="Percent 3 5 2" xfId="284" xr:uid="{00000000-0005-0000-0000-00001C010000}"/>
    <cellStyle name="Percent 3 6" xfId="285" xr:uid="{00000000-0005-0000-0000-00001D010000}"/>
    <cellStyle name="Percent 3 7" xfId="286" xr:uid="{00000000-0005-0000-0000-00001E010000}"/>
    <cellStyle name="Percent 4 2" xfId="287" xr:uid="{00000000-0005-0000-0000-00001F010000}"/>
    <cellStyle name="Percent 4 3" xfId="288" xr:uid="{00000000-0005-0000-0000-000020010000}"/>
    <cellStyle name="Percent 4 3 2" xfId="289" xr:uid="{00000000-0005-0000-0000-000021010000}"/>
    <cellStyle name="Percent 4 4" xfId="290" xr:uid="{00000000-0005-0000-0000-000022010000}"/>
    <cellStyle name="Percent 5 2" xfId="291" xr:uid="{00000000-0005-0000-0000-000023010000}"/>
    <cellStyle name="Percent 6" xfId="292" xr:uid="{00000000-0005-0000-0000-000024010000}"/>
    <cellStyle name="Percent 7" xfId="293" xr:uid="{00000000-0005-0000-0000-000025010000}"/>
    <cellStyle name="PSChar" xfId="294" xr:uid="{00000000-0005-0000-0000-000026010000}"/>
    <cellStyle name="PSDate" xfId="295" xr:uid="{00000000-0005-0000-0000-000027010000}"/>
    <cellStyle name="PSDec" xfId="296" xr:uid="{00000000-0005-0000-0000-000028010000}"/>
    <cellStyle name="PSdesc" xfId="297" xr:uid="{00000000-0005-0000-0000-000029010000}"/>
    <cellStyle name="PSHeading" xfId="298" xr:uid="{00000000-0005-0000-0000-00002A010000}"/>
    <cellStyle name="PSInt" xfId="299" xr:uid="{00000000-0005-0000-0000-00002B010000}"/>
    <cellStyle name="PSSpacer" xfId="300" xr:uid="{00000000-0005-0000-0000-00002C010000}"/>
    <cellStyle name="PStest" xfId="301" xr:uid="{00000000-0005-0000-0000-00002D010000}"/>
    <cellStyle name="R00A" xfId="302" xr:uid="{00000000-0005-0000-0000-00002E010000}"/>
    <cellStyle name="R00B" xfId="303" xr:uid="{00000000-0005-0000-0000-00002F010000}"/>
    <cellStyle name="R00L" xfId="304" xr:uid="{00000000-0005-0000-0000-000030010000}"/>
    <cellStyle name="R01A" xfId="305" xr:uid="{00000000-0005-0000-0000-000031010000}"/>
    <cellStyle name="R01B" xfId="306" xr:uid="{00000000-0005-0000-0000-000032010000}"/>
    <cellStyle name="R01H" xfId="307" xr:uid="{00000000-0005-0000-0000-000033010000}"/>
    <cellStyle name="R01L" xfId="308" xr:uid="{00000000-0005-0000-0000-000034010000}"/>
    <cellStyle name="R02A" xfId="309" xr:uid="{00000000-0005-0000-0000-000035010000}"/>
    <cellStyle name="R02B" xfId="310" xr:uid="{00000000-0005-0000-0000-000036010000}"/>
    <cellStyle name="R02H" xfId="311" xr:uid="{00000000-0005-0000-0000-000037010000}"/>
    <cellStyle name="R02L" xfId="312" xr:uid="{00000000-0005-0000-0000-000038010000}"/>
    <cellStyle name="R03A" xfId="313" xr:uid="{00000000-0005-0000-0000-000039010000}"/>
    <cellStyle name="R03B" xfId="314" xr:uid="{00000000-0005-0000-0000-00003A010000}"/>
    <cellStyle name="R03H" xfId="315" xr:uid="{00000000-0005-0000-0000-00003B010000}"/>
    <cellStyle name="R03L" xfId="316" xr:uid="{00000000-0005-0000-0000-00003C010000}"/>
    <cellStyle name="R04A" xfId="317" xr:uid="{00000000-0005-0000-0000-00003D010000}"/>
    <cellStyle name="R04B" xfId="318" xr:uid="{00000000-0005-0000-0000-00003E010000}"/>
    <cellStyle name="R04H" xfId="319" xr:uid="{00000000-0005-0000-0000-00003F010000}"/>
    <cellStyle name="R04L" xfId="320" xr:uid="{00000000-0005-0000-0000-000040010000}"/>
    <cellStyle name="R05A" xfId="321" xr:uid="{00000000-0005-0000-0000-000041010000}"/>
    <cellStyle name="R05B" xfId="322" xr:uid="{00000000-0005-0000-0000-000042010000}"/>
    <cellStyle name="R05H" xfId="323" xr:uid="{00000000-0005-0000-0000-000043010000}"/>
    <cellStyle name="R05L" xfId="324" xr:uid="{00000000-0005-0000-0000-000044010000}"/>
    <cellStyle name="R06A" xfId="325" xr:uid="{00000000-0005-0000-0000-000045010000}"/>
    <cellStyle name="R06B" xfId="326" xr:uid="{00000000-0005-0000-0000-000046010000}"/>
    <cellStyle name="R06H" xfId="327" xr:uid="{00000000-0005-0000-0000-000047010000}"/>
    <cellStyle name="R06L" xfId="328" xr:uid="{00000000-0005-0000-0000-000048010000}"/>
    <cellStyle name="R07A" xfId="329" xr:uid="{00000000-0005-0000-0000-000049010000}"/>
    <cellStyle name="R07B" xfId="330" xr:uid="{00000000-0005-0000-0000-00004A010000}"/>
    <cellStyle name="R07H" xfId="331" xr:uid="{00000000-0005-0000-0000-00004B010000}"/>
    <cellStyle name="R07L" xfId="332" xr:uid="{00000000-0005-0000-0000-00004C010000}"/>
    <cellStyle name="Title" xfId="333" builtinId="15" customBuiltin="1"/>
    <cellStyle name="Title 2" xfId="334" xr:uid="{00000000-0005-0000-0000-00004E010000}"/>
    <cellStyle name="Total" xfId="335" builtinId="25" customBuiltin="1"/>
    <cellStyle name="Total 2" xfId="336" xr:uid="{00000000-0005-0000-0000-000050010000}"/>
    <cellStyle name="Warning Text" xfId="337" builtinId="11" customBuiltin="1"/>
    <cellStyle name="Warning Text 2" xfId="338" xr:uid="{00000000-0005-0000-0000-000052010000}"/>
  </cellStyles>
  <dxfs count="6">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35"/>
        </patternFill>
      </fill>
    </dxf>
    <dxf>
      <font>
        <condense val="0"/>
        <extend val="0"/>
        <color auto="1"/>
      </font>
      <fill>
        <patternFill>
          <bgColor indexed="13"/>
        </patternFill>
      </fill>
    </dxf>
    <dxf>
      <fill>
        <patternFill>
          <bgColor indexed="1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C0C0C0"/>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U390"/>
  <sheetViews>
    <sheetView tabSelected="1" view="pageBreakPreview" zoomScale="70" zoomScaleNormal="70" zoomScaleSheetLayoutView="70" zoomScalePageLayoutView="50" workbookViewId="0">
      <selection activeCell="D6" sqref="D6"/>
    </sheetView>
  </sheetViews>
  <sheetFormatPr defaultColWidth="11.42578125" defaultRowHeight="15"/>
  <cols>
    <col min="1" max="1" width="4.7109375" style="125" customWidth="1"/>
    <col min="2" max="2" width="7.85546875" style="124" customWidth="1"/>
    <col min="3" max="3" width="1.85546875" style="125" customWidth="1"/>
    <col min="4" max="4" width="56" style="125" customWidth="1"/>
    <col min="5" max="5" width="51.5703125" style="125" customWidth="1"/>
    <col min="6" max="6" width="17.5703125" style="125" customWidth="1"/>
    <col min="7" max="7" width="20.7109375" style="125" customWidth="1"/>
    <col min="8" max="8" width="20" style="125" customWidth="1"/>
    <col min="9" max="9" width="9.85546875" style="125" customWidth="1"/>
    <col min="10" max="10" width="17" style="125" customWidth="1"/>
    <col min="11" max="11" width="11.140625" style="125" customWidth="1"/>
    <col min="12" max="12" width="21.140625" style="125" customWidth="1"/>
    <col min="13" max="13" width="17" style="125" customWidth="1"/>
    <col min="14" max="14" width="17.5703125" style="125" customWidth="1"/>
    <col min="15" max="15" width="11.140625" style="125" customWidth="1"/>
    <col min="16" max="16" width="21.85546875" style="125" customWidth="1"/>
    <col min="17" max="17" width="11.42578125" style="125" customWidth="1"/>
    <col min="18" max="18" width="20.5703125" style="125" bestFit="1" customWidth="1"/>
    <col min="19" max="16384" width="11.42578125" style="125"/>
  </cols>
  <sheetData>
    <row r="1" spans="1:16" ht="15.75">
      <c r="A1" s="696" t="s">
        <v>414</v>
      </c>
    </row>
    <row r="2" spans="1:16" ht="15.75">
      <c r="A2" s="696" t="s">
        <v>414</v>
      </c>
    </row>
    <row r="3" spans="1:16" ht="15.75">
      <c r="D3"/>
      <c r="E3" s="126"/>
      <c r="F3" s="126"/>
      <c r="G3" s="127"/>
      <c r="I3" s="128"/>
      <c r="J3" s="128"/>
      <c r="K3" s="128"/>
      <c r="N3" s="125" t="s">
        <v>414</v>
      </c>
      <c r="O3" s="129" t="s">
        <v>414</v>
      </c>
      <c r="P3" s="125" t="s">
        <v>414</v>
      </c>
    </row>
    <row r="4" spans="1:16">
      <c r="I4" s="125" t="s">
        <v>554</v>
      </c>
      <c r="L4" s="294">
        <v>2026</v>
      </c>
    </row>
    <row r="5" spans="1:16">
      <c r="D5" s="130"/>
      <c r="E5" s="130"/>
      <c r="F5" s="17" t="s">
        <v>329</v>
      </c>
      <c r="G5" s="131"/>
      <c r="H5" s="131"/>
      <c r="J5" s="130"/>
      <c r="K5" s="130"/>
      <c r="L5" s="130"/>
      <c r="M5" s="132"/>
      <c r="O5" s="133"/>
    </row>
    <row r="6" spans="1:16">
      <c r="D6" s="130"/>
      <c r="E6" s="134"/>
      <c r="F6" s="17" t="s">
        <v>203</v>
      </c>
      <c r="G6" s="131"/>
      <c r="H6" s="131"/>
      <c r="J6" s="134"/>
      <c r="K6" s="130"/>
      <c r="L6" s="130"/>
      <c r="M6" s="132"/>
    </row>
    <row r="7" spans="1:16">
      <c r="D7" s="130"/>
      <c r="E7" s="130"/>
      <c r="F7" s="2" t="str">
        <f>"Utilizing  Actual/Projected FERC Form 1 Data"</f>
        <v>Utilizing  Actual/Projected FERC Form 1 Data</v>
      </c>
      <c r="G7" s="131"/>
      <c r="H7" s="131"/>
      <c r="J7" s="130"/>
      <c r="K7" s="130"/>
      <c r="L7" s="130"/>
      <c r="M7" s="132"/>
    </row>
    <row r="8" spans="1:16">
      <c r="B8" s="135"/>
      <c r="C8" s="136"/>
      <c r="D8" s="130"/>
      <c r="H8" s="137"/>
      <c r="I8" s="137"/>
      <c r="J8" s="137"/>
      <c r="K8" s="137"/>
      <c r="L8" s="130"/>
      <c r="M8" s="130"/>
    </row>
    <row r="9" spans="1:16" ht="15.75">
      <c r="B9" s="135"/>
      <c r="C9" s="136"/>
      <c r="D9"/>
      <c r="E9" s="130"/>
      <c r="F9" s="138" t="s">
        <v>801</v>
      </c>
      <c r="G9" s="139"/>
      <c r="H9" s="130"/>
      <c r="I9" s="130"/>
      <c r="J9" s="130"/>
      <c r="K9" s="130"/>
      <c r="L9"/>
      <c r="M9" s="130"/>
    </row>
    <row r="10" spans="1:16">
      <c r="B10" s="135"/>
      <c r="C10" s="136"/>
      <c r="D10" s="130"/>
      <c r="E10" s="130"/>
      <c r="F10" s="140"/>
      <c r="G10" s="139"/>
      <c r="H10" s="130"/>
      <c r="I10" s="130"/>
      <c r="J10" s="130"/>
      <c r="K10" s="130"/>
      <c r="L10"/>
      <c r="M10" s="130"/>
    </row>
    <row r="11" spans="1:16">
      <c r="B11" s="135" t="s">
        <v>467</v>
      </c>
      <c r="C11" s="136"/>
      <c r="D11" s="130"/>
      <c r="E11" s="130"/>
      <c r="F11" s="130"/>
      <c r="G11" s="139"/>
      <c r="H11" s="130"/>
      <c r="I11" s="130"/>
      <c r="J11" s="130"/>
      <c r="K11" s="130"/>
      <c r="L11" s="136" t="s">
        <v>415</v>
      </c>
      <c r="M11" s="130"/>
    </row>
    <row r="12" spans="1:16" ht="15.75" thickBot="1">
      <c r="B12" s="141" t="s">
        <v>417</v>
      </c>
      <c r="C12" s="136"/>
      <c r="D12" s="130"/>
      <c r="E12" s="136"/>
      <c r="F12" s="130"/>
      <c r="G12" s="130"/>
      <c r="H12" s="130"/>
      <c r="I12" s="130"/>
      <c r="J12" s="130"/>
      <c r="K12" s="130"/>
      <c r="L12" s="142" t="s">
        <v>468</v>
      </c>
      <c r="M12" s="130"/>
    </row>
    <row r="13" spans="1:16">
      <c r="B13" s="135">
        <v>1</v>
      </c>
      <c r="C13" s="136"/>
      <c r="D13" s="131" t="s">
        <v>411</v>
      </c>
      <c r="E13" s="130" t="str">
        <f>"(ln "&amp;B199&amp;")"</f>
        <v>(ln 113)</v>
      </c>
      <c r="F13" s="130"/>
      <c r="G13" s="134"/>
      <c r="H13" s="143"/>
      <c r="I13" s="130"/>
      <c r="J13" s="130"/>
      <c r="K13" s="130"/>
      <c r="L13" s="144">
        <f>+L199</f>
        <v>20234596.054935426</v>
      </c>
      <c r="M13" s="130"/>
    </row>
    <row r="14" spans="1:16" ht="15.75" thickBot="1">
      <c r="B14" s="135"/>
      <c r="C14" s="136"/>
      <c r="E14" s="145"/>
      <c r="F14" s="134"/>
      <c r="G14" s="142" t="s">
        <v>418</v>
      </c>
      <c r="H14" s="134"/>
      <c r="I14" s="146" t="s">
        <v>419</v>
      </c>
      <c r="J14" s="146"/>
      <c r="K14" s="130"/>
      <c r="L14" s="134"/>
      <c r="M14" s="130"/>
    </row>
    <row r="15" spans="1:16">
      <c r="B15" s="135">
        <f>+B13+1</f>
        <v>2</v>
      </c>
      <c r="C15" s="136"/>
      <c r="D15" s="131" t="s">
        <v>466</v>
      </c>
      <c r="E15" s="145" t="str">
        <f>"(Worksheet E,  ln  "&amp;'WS E Rev Credits'!A31&amp;") (Note A) "</f>
        <v xml:space="preserve">(Worksheet E,  ln  8) (Note A) </v>
      </c>
      <c r="F15" s="134"/>
      <c r="G15" s="147">
        <f>+'WS E Rev Credits'!K31</f>
        <v>416940.73199999979</v>
      </c>
      <c r="H15" s="134"/>
      <c r="I15" s="148" t="s">
        <v>428</v>
      </c>
      <c r="J15" s="149">
        <v>1</v>
      </c>
      <c r="K15" s="134"/>
      <c r="L15" s="150">
        <f>+J15*G15</f>
        <v>416940.73199999979</v>
      </c>
      <c r="M15" s="130"/>
    </row>
    <row r="16" spans="1:16">
      <c r="B16" s="135"/>
      <c r="C16" s="136"/>
      <c r="D16" s="131"/>
      <c r="E16" s="145"/>
      <c r="F16" s="134"/>
      <c r="G16" s="147"/>
      <c r="H16" s="134"/>
      <c r="I16" s="148"/>
      <c r="J16" s="149"/>
      <c r="K16" s="134"/>
      <c r="L16" s="150"/>
      <c r="M16" s="130"/>
    </row>
    <row r="17" spans="2:13">
      <c r="B17" s="135">
        <f>+B15+1</f>
        <v>3</v>
      </c>
      <c r="C17" s="136"/>
      <c r="D17" s="131" t="s">
        <v>555</v>
      </c>
      <c r="E17" s="125" t="str">
        <f>"Worksheet E, ln "&amp;'WS E Rev Credits'!A33&amp;") (Note X) "</f>
        <v xml:space="preserve">Worksheet E, ln 9) (Note X) </v>
      </c>
      <c r="F17" s="134"/>
      <c r="L17" s="129">
        <f>'WS E Rev Credits'!K33</f>
        <v>0</v>
      </c>
      <c r="M17" s="130"/>
    </row>
    <row r="18" spans="2:13" ht="30.75" thickBot="1">
      <c r="B18" s="135">
        <f>+B17+1</f>
        <v>4</v>
      </c>
      <c r="C18" s="136"/>
      <c r="D18" s="151" t="s">
        <v>252</v>
      </c>
      <c r="E18" s="145" t="str">
        <f>"(ln "&amp;B13&amp;"  less ln " &amp;B15&amp;" plus ln 3)"</f>
        <v>(ln 1  less ln 2 plus ln 3)</v>
      </c>
      <c r="F18" s="130"/>
      <c r="H18" s="134"/>
      <c r="I18" s="148"/>
      <c r="J18" s="134"/>
      <c r="K18" s="134"/>
      <c r="L18" s="152">
        <f>+L13-L15+L17</f>
        <v>19817655.322935425</v>
      </c>
      <c r="M18" s="130"/>
    </row>
    <row r="19" spans="2:13" ht="15.75" thickTop="1">
      <c r="B19" s="135"/>
      <c r="C19" s="136"/>
      <c r="D19" s="131"/>
      <c r="E19" s="145"/>
      <c r="F19" s="130"/>
      <c r="H19" s="134"/>
      <c r="I19" s="148"/>
      <c r="J19" s="134"/>
      <c r="K19" s="134"/>
      <c r="L19" s="150"/>
      <c r="M19" s="130"/>
    </row>
    <row r="20" spans="2:13">
      <c r="B20" s="135"/>
      <c r="C20" s="136"/>
      <c r="D20" s="131"/>
      <c r="E20" s="145"/>
      <c r="F20" s="130"/>
      <c r="H20" s="134"/>
      <c r="I20" s="148"/>
      <c r="J20" s="134"/>
      <c r="K20" s="134"/>
      <c r="L20" s="150"/>
      <c r="M20" s="130"/>
    </row>
    <row r="21" spans="2:13" ht="15" customHeight="1">
      <c r="B21" s="1133" t="str">
        <f>"MEMO:  The Carrying Charge Calculations on lines "&amp;B27&amp;" to "&amp;B34&amp;" below are used in calculating project revenue requirements billed through PJM Schedule 12, Transmission Enhancement Charges.  The total non-incentive revenue requirements for these projects shown on line "&amp;B24&amp;" is included in the total on line "&amp;B18&amp;"."</f>
        <v>MEMO:  The Carrying Charge Calculations on lines 7 to 12 below are used in calculating project revenue requirements billed through PJM Schedule 12, Transmission Enhancement Charges.  The total non-incentive revenue requirements for these projects shown on line 5 is included in the total on line 4.</v>
      </c>
      <c r="C21" s="1133"/>
      <c r="D21" s="1133"/>
      <c r="E21" s="1133"/>
      <c r="F21" s="1133"/>
      <c r="G21" s="1133"/>
      <c r="H21" s="1133"/>
      <c r="I21" s="1133"/>
    </row>
    <row r="22" spans="2:13" ht="35.25" customHeight="1">
      <c r="B22" s="1133"/>
      <c r="C22" s="1133"/>
      <c r="D22" s="1133"/>
      <c r="E22" s="1133"/>
      <c r="F22" s="1133"/>
      <c r="G22" s="1133"/>
      <c r="H22" s="1133"/>
      <c r="I22" s="1133"/>
    </row>
    <row r="23" spans="2:13" ht="15" customHeight="1">
      <c r="B23" s="153"/>
      <c r="C23" s="153"/>
      <c r="D23" s="153"/>
      <c r="E23" s="153"/>
      <c r="F23" s="153"/>
      <c r="G23" s="153"/>
      <c r="H23" s="153"/>
      <c r="I23" s="153"/>
    </row>
    <row r="24" spans="2:13">
      <c r="B24" s="135">
        <f>+B18+1</f>
        <v>5</v>
      </c>
      <c r="C24" s="136"/>
      <c r="D24" s="131" t="s">
        <v>556</v>
      </c>
      <c r="E24" s="145"/>
      <c r="F24" s="134"/>
      <c r="G24" s="872">
        <f>+'WS J PROJECTED RTEP RR'!M26</f>
        <v>4688439.5797545481</v>
      </c>
      <c r="H24" s="134"/>
      <c r="I24" s="148" t="s">
        <v>428</v>
      </c>
      <c r="J24" s="149">
        <v>1</v>
      </c>
      <c r="K24" s="130"/>
      <c r="L24" s="150">
        <f>+J24*G24</f>
        <v>4688439.5797545481</v>
      </c>
      <c r="M24" s="130"/>
    </row>
    <row r="25" spans="2:13">
      <c r="B25" s="135"/>
      <c r="C25" s="136"/>
      <c r="D25" s="131"/>
      <c r="E25" s="145"/>
      <c r="F25" s="134"/>
      <c r="G25" s="147"/>
      <c r="H25" s="134"/>
      <c r="I25" s="134"/>
      <c r="J25" s="149"/>
      <c r="K25" s="130"/>
      <c r="L25" s="150"/>
      <c r="M25" s="130"/>
    </row>
    <row r="26" spans="2:13">
      <c r="B26" s="135">
        <f>+B24+1</f>
        <v>6</v>
      </c>
      <c r="C26" s="136"/>
      <c r="D26" s="131" t="s">
        <v>176</v>
      </c>
      <c r="E26" s="145"/>
      <c r="F26" s="130"/>
      <c r="G26" s="154"/>
      <c r="H26" s="130"/>
      <c r="J26" s="130"/>
      <c r="K26" s="130"/>
      <c r="M26" s="130"/>
    </row>
    <row r="27" spans="2:13">
      <c r="B27" s="135">
        <f>B26+1</f>
        <v>7</v>
      </c>
      <c r="C27" s="136"/>
      <c r="D27" s="130" t="s">
        <v>48</v>
      </c>
      <c r="E27" s="130" t="str">
        <f>"( (ln "&amp;B13&amp;"- ln "&amp;B157&amp;")/((ln "&amp;$B$83&amp;" ) x 100) )"</f>
        <v>( (ln 1- ln 80)/((ln 33 ) x 100) )</v>
      </c>
      <c r="F27" s="136"/>
      <c r="G27" s="136"/>
      <c r="H27" s="136"/>
      <c r="I27" s="155"/>
      <c r="J27" s="155"/>
      <c r="K27" s="155"/>
      <c r="L27" s="156">
        <f>IF((L83)=0,0,(L13-L157)/(L83))</f>
        <v>0.16069699689298494</v>
      </c>
      <c r="M27" s="130"/>
    </row>
    <row r="28" spans="2:13">
      <c r="B28" s="135">
        <f>B27+1</f>
        <v>8</v>
      </c>
      <c r="C28" s="136"/>
      <c r="D28" s="130" t="s">
        <v>49</v>
      </c>
      <c r="E28" s="130" t="str">
        <f>"(ln "&amp;B27&amp;" / 12)"</f>
        <v>(ln 7 / 12)</v>
      </c>
      <c r="F28" s="136"/>
      <c r="G28" s="136"/>
      <c r="H28" s="136"/>
      <c r="I28" s="155"/>
      <c r="J28" s="155"/>
      <c r="K28" s="155"/>
      <c r="L28" s="156">
        <f>L27/12</f>
        <v>1.3391416407748746E-2</v>
      </c>
      <c r="M28" s="130"/>
    </row>
    <row r="29" spans="2:13">
      <c r="B29" s="135"/>
      <c r="C29" s="136"/>
      <c r="D29" s="130"/>
      <c r="E29" s="130"/>
      <c r="F29" s="136"/>
      <c r="G29" s="136"/>
      <c r="H29" s="136"/>
      <c r="I29" s="155"/>
      <c r="J29" s="155"/>
      <c r="K29" s="155"/>
      <c r="L29" s="156"/>
      <c r="M29" s="130"/>
    </row>
    <row r="30" spans="2:13">
      <c r="B30" s="135">
        <f>B28+1</f>
        <v>9</v>
      </c>
      <c r="C30" s="136"/>
      <c r="D30" s="131" t="str">
        <f>"NET PLANT CARRYING CHARGE ON LINE "&amp;B27&amp;" , w/o depreciation or ROE incentives (Note B)"</f>
        <v>NET PLANT CARRYING CHARGE ON LINE 7 , w/o depreciation or ROE incentives (Note B)</v>
      </c>
      <c r="E30" s="130"/>
      <c r="F30" s="136"/>
      <c r="G30" s="136"/>
      <c r="H30" s="136"/>
      <c r="I30" s="155"/>
      <c r="J30" s="155"/>
      <c r="K30" s="155"/>
      <c r="L30" s="156"/>
      <c r="M30" s="130"/>
    </row>
    <row r="31" spans="2:13">
      <c r="B31" s="135">
        <f>B30+1</f>
        <v>10</v>
      </c>
      <c r="C31" s="136"/>
      <c r="D31" s="130" t="s">
        <v>48</v>
      </c>
      <c r="E31" s="130" t="str">
        <f>"( (ln "&amp;B13&amp;"- ln "&amp;B157&amp;" - ln "&amp;B161&amp;")/((ln "&amp;$B$83&amp;") x 100) )"</f>
        <v>( (ln 1- ln 80 - ln 83)/((ln 33) x 100) )</v>
      </c>
      <c r="F31" s="136"/>
      <c r="G31" s="136"/>
      <c r="H31" s="136"/>
      <c r="I31" s="155"/>
      <c r="J31" s="155"/>
      <c r="K31" s="155"/>
      <c r="L31" s="156">
        <f>IF(L83=0,0,(L13-L157-L161)/L83)</f>
        <v>0.13037271545595952</v>
      </c>
      <c r="M31" s="130"/>
    </row>
    <row r="32" spans="2:13">
      <c r="B32" s="135"/>
      <c r="C32" s="136"/>
      <c r="D32" s="130"/>
      <c r="E32" s="130"/>
      <c r="F32" s="136"/>
      <c r="G32" s="136"/>
      <c r="H32" s="136"/>
      <c r="I32" s="155"/>
      <c r="J32" s="155"/>
      <c r="K32" s="155"/>
      <c r="L32" s="156"/>
      <c r="M32" s="130"/>
    </row>
    <row r="33" spans="2:13">
      <c r="B33" s="135">
        <f>B31+1</f>
        <v>11</v>
      </c>
      <c r="C33" s="136"/>
      <c r="D33" s="131" t="str">
        <f>"NET PLANT CARRYING CHARGE ON LINE "&amp;B31&amp;", w/o Return, income taxes or ROE incentives (Note B)"</f>
        <v>NET PLANT CARRYING CHARGE ON LINE 10, w/o Return, income taxes or ROE incentives (Note B)</v>
      </c>
      <c r="E33" s="130"/>
      <c r="F33" s="41"/>
      <c r="G33" s="41"/>
      <c r="H33" s="41"/>
      <c r="I33" s="41"/>
      <c r="J33" s="41"/>
      <c r="K33" s="41"/>
      <c r="L33" s="41"/>
      <c r="M33"/>
    </row>
    <row r="34" spans="2:13">
      <c r="B34" s="135">
        <f>B33+1</f>
        <v>12</v>
      </c>
      <c r="C34" s="136"/>
      <c r="D34" s="130" t="s">
        <v>48</v>
      </c>
      <c r="E34" s="130" t="str">
        <f>"( (ln "&amp;B13&amp;" - ln "&amp;B157&amp;" - ln "&amp;B161&amp;" - ln "&amp;B189&amp;" - ln "&amp;B191&amp;") /((ln "&amp;$B$83&amp;") x 100) )"</f>
        <v>( (ln 1 - ln 80 - ln 83 - ln 108 - ln 109) /((ln 33) x 100) )</v>
      </c>
      <c r="F34" s="41"/>
      <c r="G34" s="41"/>
      <c r="H34" s="41"/>
      <c r="I34" s="41"/>
      <c r="J34" s="41"/>
      <c r="K34" s="41"/>
      <c r="L34" s="157">
        <f>IF(L83=0,0,(L13-L157-L161-L189-L191)/L83)</f>
        <v>3.5854547229489359E-2</v>
      </c>
      <c r="M34"/>
    </row>
    <row r="35" spans="2:13">
      <c r="B35" s="135"/>
      <c r="C35" s="136"/>
      <c r="D35" s="130"/>
      <c r="E35" s="130"/>
      <c r="F35" s="136"/>
      <c r="G35" s="136"/>
      <c r="H35" s="136"/>
      <c r="I35" s="155"/>
      <c r="J35" s="155"/>
      <c r="K35" s="155"/>
      <c r="L35" s="156"/>
      <c r="M35" s="158"/>
    </row>
    <row r="36" spans="2:13">
      <c r="B36" s="135">
        <f>B34+1</f>
        <v>13</v>
      </c>
      <c r="C36" s="136"/>
      <c r="D36" s="131" t="s">
        <v>557</v>
      </c>
      <c r="E36" s="130"/>
      <c r="F36" s="136"/>
      <c r="G36" s="136"/>
      <c r="H36" s="136"/>
      <c r="I36" s="155"/>
      <c r="J36" s="155"/>
      <c r="K36" s="155"/>
      <c r="L36" s="292">
        <f>+'WS J PROJECTED RTEP RR'!O26</f>
        <v>0</v>
      </c>
      <c r="M36" s="130"/>
    </row>
    <row r="37" spans="2:13">
      <c r="B37" s="135"/>
      <c r="C37" s="136"/>
      <c r="E37" s="130"/>
      <c r="F37" s="136"/>
      <c r="G37" s="136"/>
      <c r="H37" s="136"/>
      <c r="I37" s="155"/>
      <c r="J37" s="155"/>
      <c r="K37" s="155"/>
      <c r="L37" s="156"/>
      <c r="M37" s="130"/>
    </row>
    <row r="38" spans="2:13">
      <c r="B38" s="125"/>
      <c r="C38" s="136"/>
      <c r="E38" s="130"/>
      <c r="F38" s="136"/>
      <c r="G38" s="136"/>
      <c r="H38" s="136"/>
      <c r="I38" s="155"/>
      <c r="J38" s="155"/>
      <c r="K38" s="155"/>
      <c r="L38" s="156"/>
      <c r="M38" s="130"/>
    </row>
    <row r="39" spans="2:13" ht="15.75">
      <c r="B39" s="135">
        <f>+B36+1</f>
        <v>14</v>
      </c>
      <c r="C39" s="136"/>
      <c r="D39" s="1139" t="s">
        <v>215</v>
      </c>
      <c r="E39" s="1139"/>
      <c r="F39" s="1139"/>
      <c r="G39" s="1139"/>
      <c r="H39" s="1139"/>
      <c r="I39" s="1139"/>
      <c r="J39" s="1139"/>
      <c r="K39" s="1139"/>
      <c r="L39" s="1139"/>
      <c r="M39" s="130"/>
    </row>
    <row r="40" spans="2:13">
      <c r="B40" s="135"/>
      <c r="C40" s="136"/>
      <c r="E40" s="130"/>
      <c r="F40" s="136"/>
      <c r="G40" s="136"/>
      <c r="H40" s="136"/>
      <c r="I40" s="155"/>
      <c r="J40" s="155"/>
      <c r="K40" s="155"/>
      <c r="L40" s="156"/>
      <c r="M40" s="130"/>
    </row>
    <row r="41" spans="2:13">
      <c r="B41" s="135">
        <f>+B39+1</f>
        <v>15</v>
      </c>
      <c r="C41" s="136"/>
      <c r="D41" s="131" t="s">
        <v>217</v>
      </c>
      <c r="E41" s="130" t="str">
        <f>"Line "&amp;B137&amp;" Below"</f>
        <v>Line 63 Below</v>
      </c>
      <c r="F41" s="136"/>
      <c r="H41" s="136"/>
      <c r="I41" s="155"/>
      <c r="J41" s="155"/>
      <c r="K41" s="155"/>
      <c r="L41" s="159">
        <f>+G137</f>
        <v>106906.84084669537</v>
      </c>
      <c r="M41" s="130"/>
    </row>
    <row r="42" spans="2:13">
      <c r="B42" s="135">
        <f>+B41+1</f>
        <v>16</v>
      </c>
      <c r="C42" s="136"/>
      <c r="D42" s="131" t="s">
        <v>282</v>
      </c>
      <c r="E42" s="130"/>
      <c r="F42" s="136"/>
      <c r="H42" s="136"/>
      <c r="I42" s="155"/>
      <c r="J42" s="155"/>
      <c r="K42" s="155"/>
      <c r="L42" s="115">
        <f>'WS F Misc Exp'!D28</f>
        <v>0</v>
      </c>
      <c r="M42" s="130"/>
    </row>
    <row r="43" spans="2:13">
      <c r="B43" s="135">
        <f>+B42+1</f>
        <v>17</v>
      </c>
      <c r="C43" s="136"/>
      <c r="D43" s="131" t="s">
        <v>283</v>
      </c>
      <c r="E43" s="130"/>
      <c r="F43" s="136"/>
      <c r="H43" s="136"/>
      <c r="I43" s="155"/>
      <c r="J43" s="155"/>
      <c r="K43" s="155"/>
      <c r="L43" s="115">
        <f>'WS F Misc Exp'!D32</f>
        <v>0</v>
      </c>
      <c r="M43" s="130"/>
    </row>
    <row r="44" spans="2:13">
      <c r="B44" s="135"/>
      <c r="C44" s="136"/>
      <c r="E44" s="130"/>
      <c r="F44" s="136"/>
      <c r="H44" s="136"/>
      <c r="I44" s="155"/>
      <c r="J44" s="155"/>
      <c r="K44" s="155"/>
      <c r="L44" s="136"/>
      <c r="M44" s="130"/>
    </row>
    <row r="45" spans="2:13" ht="15.75" thickBot="1">
      <c r="B45" s="135">
        <f>+B43+1</f>
        <v>18</v>
      </c>
      <c r="C45" s="136"/>
      <c r="D45" s="131" t="s">
        <v>216</v>
      </c>
      <c r="E45" s="143" t="str">
        <f>"(Line "&amp;B41&amp;" - Line "&amp;B42&amp;" - Line "&amp;B43&amp;")"</f>
        <v>(Line 15 - Line 16 - Line 17)</v>
      </c>
      <c r="F45" s="136"/>
      <c r="H45" s="136"/>
      <c r="I45" s="155"/>
      <c r="J45" s="155"/>
      <c r="K45" s="155"/>
      <c r="L45" s="160">
        <f>+L41-L42-L43</f>
        <v>106906.84084669537</v>
      </c>
      <c r="M45" s="130"/>
    </row>
    <row r="46" spans="2:13" ht="15.75" thickTop="1">
      <c r="B46" s="135"/>
      <c r="C46" s="136"/>
      <c r="E46" s="130"/>
      <c r="F46" s="136"/>
      <c r="G46" s="136"/>
      <c r="H46" s="136"/>
      <c r="I46" s="155"/>
      <c r="J46" s="155"/>
      <c r="K46" s="155"/>
      <c r="L46" s="156"/>
      <c r="M46" s="130"/>
    </row>
    <row r="47" spans="2:13">
      <c r="B47" s="135"/>
      <c r="C47" s="136"/>
      <c r="E47" s="130"/>
      <c r="F47" s="136"/>
      <c r="G47" s="136"/>
      <c r="H47" s="136"/>
      <c r="I47" s="155"/>
      <c r="J47" s="155"/>
      <c r="K47" s="155"/>
      <c r="L47" s="156"/>
      <c r="M47" s="130"/>
    </row>
    <row r="48" spans="2:13">
      <c r="B48" s="135"/>
      <c r="C48" s="136"/>
      <c r="E48" s="130"/>
      <c r="F48" s="136"/>
      <c r="G48" s="136"/>
      <c r="H48" s="136"/>
      <c r="I48" s="155"/>
      <c r="J48" s="155"/>
      <c r="K48" s="155"/>
      <c r="L48" s="156"/>
      <c r="M48" s="130"/>
    </row>
    <row r="49" spans="2:16">
      <c r="D49" s="130"/>
      <c r="E49" s="130"/>
      <c r="G49" s="143"/>
      <c r="H49" s="130"/>
      <c r="I49" s="130"/>
      <c r="J49" s="130"/>
      <c r="K49" s="130"/>
      <c r="L49" s="130"/>
      <c r="M49" s="161"/>
    </row>
    <row r="50" spans="2:16">
      <c r="D50" s="130"/>
      <c r="E50" s="130"/>
      <c r="F50" s="136"/>
      <c r="G50" s="143"/>
      <c r="H50" s="130"/>
      <c r="I50" s="130"/>
      <c r="J50" s="130"/>
      <c r="K50" s="130"/>
      <c r="L50" s="130"/>
      <c r="M50" s="161"/>
      <c r="P50" s="162"/>
    </row>
    <row r="51" spans="2:16">
      <c r="D51" s="130"/>
      <c r="E51" s="130"/>
      <c r="F51" s="136" t="str">
        <f>F5</f>
        <v>AEPTCo subsidiaries in PJM</v>
      </c>
      <c r="G51" s="143"/>
      <c r="H51" s="130"/>
      <c r="I51" s="130"/>
      <c r="J51" s="130"/>
      <c r="K51" s="130"/>
      <c r="L51" s="130"/>
      <c r="M51" s="161"/>
      <c r="P51" s="162"/>
    </row>
    <row r="52" spans="2:16">
      <c r="D52" s="130"/>
      <c r="E52" s="134"/>
      <c r="F52" s="136" t="str">
        <f>F6</f>
        <v>Transmission Cost of Service Formula Rate</v>
      </c>
      <c r="G52" s="134"/>
      <c r="H52" s="134"/>
      <c r="I52" s="134"/>
      <c r="J52" s="134"/>
      <c r="K52" s="134"/>
      <c r="L52" s="134"/>
      <c r="M52" s="163"/>
      <c r="P52" s="164"/>
    </row>
    <row r="53" spans="2:16">
      <c r="D53" s="130"/>
      <c r="E53" s="134"/>
      <c r="F53" s="148" t="str">
        <f>F7</f>
        <v>Utilizing  Actual/Projected FERC Form 1 Data</v>
      </c>
      <c r="G53" s="134"/>
      <c r="H53" s="134"/>
      <c r="I53" s="134"/>
      <c r="J53" s="134"/>
      <c r="K53" s="134"/>
      <c r="L53" s="134"/>
      <c r="M53" s="165"/>
      <c r="P53" s="164"/>
    </row>
    <row r="54" spans="2:16">
      <c r="D54" s="130"/>
      <c r="E54" s="134"/>
      <c r="F54" s="136"/>
      <c r="G54" s="134"/>
      <c r="H54" s="134"/>
      <c r="I54" s="134"/>
      <c r="J54" s="134"/>
      <c r="K54" s="134"/>
      <c r="L54" s="134"/>
      <c r="M54" s="134"/>
      <c r="P54" s="164"/>
    </row>
    <row r="55" spans="2:16">
      <c r="D55" s="130"/>
      <c r="E55" s="134"/>
      <c r="F55" s="136" t="str">
        <f>F9</f>
        <v>AEP Kentucky Transmission Company</v>
      </c>
      <c r="G55" s="134"/>
      <c r="H55" s="134"/>
      <c r="I55" s="134"/>
      <c r="J55" s="134"/>
      <c r="K55" s="134"/>
      <c r="L55" s="134"/>
      <c r="M55" s="134"/>
      <c r="P55" s="164"/>
    </row>
    <row r="56" spans="2:16">
      <c r="D56" s="130"/>
      <c r="E56" s="148"/>
      <c r="F56" s="148"/>
      <c r="G56" s="148"/>
      <c r="H56" s="148"/>
      <c r="I56" s="148"/>
      <c r="J56" s="148"/>
      <c r="K56" s="148"/>
      <c r="L56" s="134"/>
      <c r="M56" s="134"/>
      <c r="P56" s="164"/>
    </row>
    <row r="57" spans="2:16">
      <c r="D57" s="136" t="s">
        <v>421</v>
      </c>
      <c r="E57" s="136" t="s">
        <v>422</v>
      </c>
      <c r="F57" s="136"/>
      <c r="G57" s="136" t="s">
        <v>423</v>
      </c>
      <c r="H57" s="134" t="s">
        <v>414</v>
      </c>
      <c r="I57" s="1134" t="s">
        <v>424</v>
      </c>
      <c r="J57" s="1135"/>
      <c r="K57" s="134"/>
      <c r="L57" s="137" t="s">
        <v>425</v>
      </c>
      <c r="M57" s="134"/>
    </row>
    <row r="58" spans="2:16">
      <c r="B58" s="125"/>
      <c r="D58" s="41"/>
      <c r="E58" s="41"/>
      <c r="F58" s="41"/>
      <c r="G58" s="159"/>
      <c r="H58" s="134"/>
      <c r="I58" s="134"/>
      <c r="J58" s="167"/>
      <c r="K58" s="134"/>
      <c r="M58" s="134"/>
    </row>
    <row r="59" spans="2:16" ht="15.75">
      <c r="B59" s="168"/>
      <c r="C59" s="136"/>
      <c r="D59" s="41"/>
      <c r="E59" s="169" t="s">
        <v>394</v>
      </c>
      <c r="F59" s="170"/>
      <c r="G59" s="134"/>
      <c r="H59" s="134"/>
      <c r="I59" s="134"/>
      <c r="J59" s="136"/>
      <c r="K59" s="134"/>
      <c r="L59" s="171" t="s">
        <v>418</v>
      </c>
      <c r="M59" s="134"/>
      <c r="P59" s="162"/>
    </row>
    <row r="60" spans="2:16" ht="15.75">
      <c r="B60" s="125"/>
      <c r="C60" s="136"/>
      <c r="D60" s="172" t="s">
        <v>393</v>
      </c>
      <c r="E60" s="173" t="s">
        <v>412</v>
      </c>
      <c r="F60" s="134"/>
      <c r="G60" s="172" t="s">
        <v>380</v>
      </c>
      <c r="H60" s="174"/>
      <c r="I60" s="1136" t="s">
        <v>419</v>
      </c>
      <c r="J60" s="1137"/>
      <c r="K60" s="174"/>
      <c r="L60" s="172" t="s">
        <v>415</v>
      </c>
      <c r="M60" s="134"/>
    </row>
    <row r="61" spans="2:16">
      <c r="B61" s="135" t="str">
        <f>B11</f>
        <v>Line</v>
      </c>
      <c r="C61" s="136"/>
      <c r="D61" s="130"/>
      <c r="E61" s="134"/>
      <c r="F61" s="134"/>
      <c r="G61" s="175" t="s">
        <v>156</v>
      </c>
      <c r="H61" s="134"/>
      <c r="I61" s="134"/>
      <c r="J61" s="134"/>
      <c r="K61" s="134"/>
      <c r="L61" s="134"/>
      <c r="M61" s="134"/>
    </row>
    <row r="62" spans="2:16" ht="15.75" thickBot="1">
      <c r="B62" s="141" t="str">
        <f>B12</f>
        <v>No.</v>
      </c>
      <c r="C62" s="136"/>
      <c r="D62" s="130" t="s">
        <v>381</v>
      </c>
      <c r="E62" s="148"/>
      <c r="F62" s="148"/>
      <c r="G62" s="134"/>
      <c r="H62" s="134"/>
      <c r="I62" s="148"/>
      <c r="J62" s="134"/>
      <c r="K62" s="134"/>
      <c r="L62" s="134"/>
      <c r="M62" s="134"/>
    </row>
    <row r="63" spans="2:16">
      <c r="B63" s="135">
        <f>+B45+1</f>
        <v>19</v>
      </c>
      <c r="C63" s="177"/>
      <c r="D63" s="178" t="s">
        <v>427</v>
      </c>
      <c r="E63" s="134" t="str">
        <f>"(Worksheet A ln "&amp;'WS A - Rate Base Support'!A23&amp;"."&amp;'WS A - Rate Base Support'!C8 &amp;" &amp; Ln "&amp;B215&amp;")"</f>
        <v>(Worksheet A ln 14.(b) &amp; Ln 117)</v>
      </c>
      <c r="F63" s="179"/>
      <c r="G63" s="147">
        <f>'WS A - Rate Base Support'!C23</f>
        <v>162457315.9030177</v>
      </c>
      <c r="H63" s="147"/>
      <c r="I63" s="202" t="s">
        <v>428</v>
      </c>
      <c r="J63" s="149"/>
      <c r="K63" s="180"/>
      <c r="L63" s="181">
        <f>+L215</f>
        <v>162457315.9030177</v>
      </c>
      <c r="M63" s="180"/>
    </row>
    <row r="64" spans="2:16">
      <c r="B64" s="135">
        <f>+B63+1</f>
        <v>20</v>
      </c>
      <c r="C64" s="177"/>
      <c r="D64" s="130" t="s">
        <v>179</v>
      </c>
      <c r="E64" s="134" t="str">
        <f>"(Worksheet A ln "&amp;'WS A - Rate Base Support'!A23&amp;"."&amp;'WS A - Rate Base Support'!D8 &amp;")"</f>
        <v>(Worksheet A ln 14.(c))</v>
      </c>
      <c r="F64" s="179"/>
      <c r="G64" s="147">
        <f>'WS A - Rate Base Support'!D23</f>
        <v>0</v>
      </c>
      <c r="H64" s="147"/>
      <c r="I64" s="202" t="s">
        <v>420</v>
      </c>
      <c r="J64" s="149">
        <f>J140</f>
        <v>1</v>
      </c>
      <c r="K64" s="180"/>
      <c r="L64" s="181">
        <f>+G64*J64</f>
        <v>0</v>
      </c>
      <c r="M64" s="180"/>
    </row>
    <row r="65" spans="2:15">
      <c r="B65" s="135">
        <f>+B64+1</f>
        <v>21</v>
      </c>
      <c r="C65" s="177"/>
      <c r="D65" s="130" t="s">
        <v>429</v>
      </c>
      <c r="E65" s="134" t="str">
        <f>"(Worksheet A ln "&amp;'WS A - Rate Base Support'!A23&amp;"."&amp;'WS A - Rate Base Support'!E8 &amp;")"</f>
        <v>(Worksheet A ln 14.(d))</v>
      </c>
      <c r="F65" s="134"/>
      <c r="G65" s="147">
        <f>'WS A - Rate Base Support'!E23</f>
        <v>27031412.172126953</v>
      </c>
      <c r="H65" s="147"/>
      <c r="I65" s="148" t="s">
        <v>430</v>
      </c>
      <c r="J65" s="149">
        <f>L235</f>
        <v>1</v>
      </c>
      <c r="K65" s="134"/>
      <c r="L65" s="147">
        <f>+J65*G65</f>
        <v>27031412.172126953</v>
      </c>
      <c r="M65" s="134"/>
    </row>
    <row r="66" spans="2:15">
      <c r="B66" s="135">
        <f>+B65+1</f>
        <v>22</v>
      </c>
      <c r="C66" s="177"/>
      <c r="D66" s="130" t="s">
        <v>178</v>
      </c>
      <c r="E66" s="134" t="str">
        <f>"(Worksheet A ln "&amp;'WS A - Rate Base Support'!A23&amp;"."&amp;'WS A - Rate Base Support'!F8 &amp;")"</f>
        <v>(Worksheet A ln 14.(e))</v>
      </c>
      <c r="F66" s="134"/>
      <c r="G66" s="147">
        <f>'WS A - Rate Base Support'!F23</f>
        <v>0</v>
      </c>
      <c r="H66" s="147"/>
      <c r="I66" s="148" t="s">
        <v>430</v>
      </c>
      <c r="J66" s="149">
        <f>L235</f>
        <v>1</v>
      </c>
      <c r="K66" s="134"/>
      <c r="L66" s="147">
        <f>+G66*J66</f>
        <v>0</v>
      </c>
      <c r="M66" s="134"/>
    </row>
    <row r="67" spans="2:15">
      <c r="B67" s="135">
        <f>+B66+1</f>
        <v>23</v>
      </c>
      <c r="C67" s="177"/>
      <c r="D67" s="130" t="s">
        <v>431</v>
      </c>
      <c r="E67" s="134" t="str">
        <f>"(Worksheet A ln "&amp;'WS A - Rate Base Support'!A23&amp;"."&amp;'WS A - Rate Base Support'!G8 &amp;")"</f>
        <v>(Worksheet A ln 14.(f))</v>
      </c>
      <c r="F67" s="134"/>
      <c r="G67" s="147">
        <f>'WS A - Rate Base Support'!G23</f>
        <v>0</v>
      </c>
      <c r="H67" s="147"/>
      <c r="I67" s="148" t="s">
        <v>430</v>
      </c>
      <c r="J67" s="149">
        <f>L235</f>
        <v>1</v>
      </c>
      <c r="K67" s="134"/>
      <c r="L67" s="147">
        <f>+J67*G67</f>
        <v>0</v>
      </c>
      <c r="M67" s="134"/>
      <c r="N67" s="130"/>
      <c r="O67" s="130"/>
    </row>
    <row r="68" spans="2:15">
      <c r="B68" s="135"/>
      <c r="C68" s="177"/>
      <c r="D68" s="130"/>
      <c r="E68" s="134"/>
      <c r="F68" s="134"/>
      <c r="G68" s="147"/>
      <c r="H68" s="147"/>
      <c r="I68" s="148"/>
      <c r="J68" s="149"/>
      <c r="K68" s="134"/>
      <c r="L68" s="232"/>
      <c r="M68" s="134"/>
      <c r="N68" s="130"/>
      <c r="O68" s="130"/>
    </row>
    <row r="69" spans="2:15" ht="15.75" thickBot="1">
      <c r="B69" s="135"/>
      <c r="C69" s="177"/>
      <c r="D69" s="130"/>
      <c r="E69" s="134"/>
      <c r="F69" s="134"/>
      <c r="G69" s="182"/>
      <c r="H69" s="147"/>
      <c r="I69" s="148"/>
      <c r="J69" s="149"/>
      <c r="K69" s="134"/>
      <c r="L69" s="1112"/>
      <c r="M69" s="134"/>
      <c r="N69" s="130"/>
      <c r="O69" s="130"/>
    </row>
    <row r="70" spans="2:15" ht="15.75">
      <c r="B70" s="135">
        <f>+B67+1</f>
        <v>24</v>
      </c>
      <c r="C70" s="177"/>
      <c r="D70" s="130" t="s">
        <v>379</v>
      </c>
      <c r="E70" s="134" t="str">
        <f>"(Sum of Lines: "&amp;B63&amp;" to "&amp;B67&amp;")"</f>
        <v>(Sum of Lines: 19 to 23)</v>
      </c>
      <c r="F70" s="98"/>
      <c r="G70" s="147">
        <f>SUM(G63:G69)</f>
        <v>189488728.07514465</v>
      </c>
      <c r="H70" s="147"/>
      <c r="I70" s="234" t="s">
        <v>969</v>
      </c>
      <c r="J70" s="1105">
        <f>IF(G70=0,0,L70/G70)</f>
        <v>1</v>
      </c>
      <c r="K70" s="134"/>
      <c r="L70" s="147">
        <f>SUM(L63:L69)</f>
        <v>189488728.07514465</v>
      </c>
      <c r="M70" s="134"/>
      <c r="N70" s="130"/>
      <c r="O70" s="130"/>
    </row>
    <row r="71" spans="2:15" ht="15.75">
      <c r="B71" s="135"/>
      <c r="C71" s="136"/>
      <c r="D71" s="130"/>
      <c r="E71" s="352"/>
      <c r="F71" s="41"/>
      <c r="G71" s="147"/>
      <c r="H71" s="147"/>
      <c r="I71" s="234" t="s">
        <v>506</v>
      </c>
      <c r="J71" s="1107">
        <f>+IF(L63=0,0,L63/(G63))</f>
        <v>1</v>
      </c>
      <c r="K71" s="134"/>
      <c r="L71" s="147"/>
      <c r="M71" s="134"/>
      <c r="N71" s="183"/>
      <c r="O71" s="130"/>
    </row>
    <row r="72" spans="2:15">
      <c r="B72" s="135">
        <f>+B70+1</f>
        <v>25</v>
      </c>
      <c r="C72" s="136"/>
      <c r="D72" s="130" t="s">
        <v>361</v>
      </c>
      <c r="E72" s="148"/>
      <c r="F72" s="148"/>
      <c r="G72" s="147"/>
      <c r="H72" s="1108"/>
      <c r="I72" s="148"/>
      <c r="J72" s="1109"/>
      <c r="K72" s="134"/>
      <c r="L72" s="147"/>
      <c r="M72" s="134"/>
      <c r="N72" s="134"/>
      <c r="O72" s="134"/>
    </row>
    <row r="73" spans="2:15" ht="15.75">
      <c r="B73" s="135">
        <f t="shared" ref="B73:B77" si="0">+B72+1</f>
        <v>26</v>
      </c>
      <c r="C73" s="177"/>
      <c r="D73" s="178" t="str">
        <f>D63</f>
        <v xml:space="preserve">  Transmission</v>
      </c>
      <c r="E73" s="134" t="str">
        <f>"(Worksheet A ln "&amp;'WS A - Rate Base Support'!A42&amp;"."&amp;'WS A - Rate Base Support'!C27 &amp;" &amp; Ln "&amp;'WS A - Rate Base Support'!A64&amp;"."&amp;'WS A - Rate Base Support'!C47&amp;")"</f>
        <v>(Worksheet A ln 28.(b) &amp; Ln 43.(b))</v>
      </c>
      <c r="F73" s="179"/>
      <c r="G73" s="181">
        <f>'WS A - Rate Base Support'!C42</f>
        <v>36539617.089949548</v>
      </c>
      <c r="H73" s="147"/>
      <c r="I73" s="1110" t="s">
        <v>428</v>
      </c>
      <c r="J73" s="184">
        <f>IF(G73=0,1,L73/G73)</f>
        <v>1</v>
      </c>
      <c r="K73" s="180"/>
      <c r="L73" s="147">
        <f>'WS A - Rate Base Support'!C64</f>
        <v>36539617.089949548</v>
      </c>
      <c r="M73" s="180"/>
      <c r="N73" s="134"/>
      <c r="O73" s="134"/>
    </row>
    <row r="74" spans="2:15" ht="15.75">
      <c r="B74" s="135">
        <f t="shared" si="0"/>
        <v>27</v>
      </c>
      <c r="C74" s="177"/>
      <c r="D74" s="130" t="s">
        <v>179</v>
      </c>
      <c r="E74" s="134" t="str">
        <f>"(Worksheet A ln "&amp;'WS A - Rate Base Support'!A42&amp;"."&amp;'WS A - Rate Base Support'!D27 &amp;")"</f>
        <v>(Worksheet A ln 28.(c))</v>
      </c>
      <c r="F74" s="179"/>
      <c r="G74" s="147">
        <f>'WS A - Rate Base Support'!D42</f>
        <v>0</v>
      </c>
      <c r="H74" s="147"/>
      <c r="I74" s="1110" t="s">
        <v>420</v>
      </c>
      <c r="J74" s="149">
        <f>IF(I74="TP",L217,L73/G73)</f>
        <v>1</v>
      </c>
      <c r="K74" s="180"/>
      <c r="L74" s="147">
        <f>+J74*G74</f>
        <v>0</v>
      </c>
      <c r="M74" s="180"/>
      <c r="N74" s="134"/>
      <c r="O74" s="134"/>
    </row>
    <row r="75" spans="2:15">
      <c r="B75" s="135">
        <f t="shared" si="0"/>
        <v>28</v>
      </c>
      <c r="C75" s="177"/>
      <c r="D75" s="130" t="str">
        <f>+D65</f>
        <v xml:space="preserve">  General Plant   </v>
      </c>
      <c r="E75" s="134" t="str">
        <f>"(Worksheet A ln "&amp;'WS A - Rate Base Support'!A42&amp;"."&amp;'WS A - Rate Base Support'!E27 &amp;")"</f>
        <v>(Worksheet A ln 28.(d))</v>
      </c>
      <c r="F75" s="134"/>
      <c r="G75" s="147">
        <f>'WS A - Rate Base Support'!E42</f>
        <v>5843101.5288701272</v>
      </c>
      <c r="H75" s="147"/>
      <c r="I75" s="148" t="s">
        <v>430</v>
      </c>
      <c r="J75" s="149">
        <f>L235</f>
        <v>1</v>
      </c>
      <c r="K75" s="134"/>
      <c r="L75" s="147">
        <f>+J75*G75</f>
        <v>5843101.5288701272</v>
      </c>
      <c r="M75" s="134"/>
      <c r="N75" s="134"/>
      <c r="O75" s="134"/>
    </row>
    <row r="76" spans="2:15">
      <c r="B76" s="135">
        <f t="shared" si="0"/>
        <v>29</v>
      </c>
      <c r="C76" s="177"/>
      <c r="D76" s="130" t="s">
        <v>178</v>
      </c>
      <c r="E76" s="134" t="str">
        <f>"(Worksheet A ln "&amp;'WS A - Rate Base Support'!A42&amp;"."&amp;'WS A - Rate Base Support'!F27 &amp;")"</f>
        <v>(Worksheet A ln 28.(e))</v>
      </c>
      <c r="F76" s="134"/>
      <c r="G76" s="147">
        <f>'WS A - Rate Base Support'!F42</f>
        <v>0</v>
      </c>
      <c r="H76" s="147"/>
      <c r="I76" s="148" t="s">
        <v>430</v>
      </c>
      <c r="J76" s="149">
        <f>L235</f>
        <v>1</v>
      </c>
      <c r="K76" s="134"/>
      <c r="L76" s="147">
        <f>+J76*G76</f>
        <v>0</v>
      </c>
      <c r="M76" s="134"/>
      <c r="N76" s="134"/>
      <c r="O76" s="134"/>
    </row>
    <row r="77" spans="2:15">
      <c r="B77" s="135">
        <f t="shared" si="0"/>
        <v>30</v>
      </c>
      <c r="C77" s="177"/>
      <c r="D77" s="130" t="str">
        <f>+D67</f>
        <v xml:space="preserve">  Intangible Plant</v>
      </c>
      <c r="E77" s="134" t="str">
        <f>"(Worksheet A ln "&amp;'WS A - Rate Base Support'!A42&amp;"."&amp;'WS A - Rate Base Support'!G27 &amp;")"</f>
        <v>(Worksheet A ln 28.(f))</v>
      </c>
      <c r="F77" s="134"/>
      <c r="G77" s="147">
        <f>'WS A - Rate Base Support'!G42</f>
        <v>0</v>
      </c>
      <c r="H77" s="147"/>
      <c r="I77" s="148" t="s">
        <v>430</v>
      </c>
      <c r="J77" s="149">
        <f>L235</f>
        <v>1</v>
      </c>
      <c r="K77" s="134"/>
      <c r="L77" s="1111">
        <f>+J77*G77</f>
        <v>0</v>
      </c>
      <c r="M77" s="134"/>
      <c r="N77" s="134"/>
      <c r="O77" s="134"/>
    </row>
    <row r="78" spans="2:15">
      <c r="B78" s="135"/>
      <c r="C78" s="177"/>
      <c r="D78" s="130"/>
      <c r="E78" s="134"/>
      <c r="F78" s="134"/>
      <c r="G78" s="147"/>
      <c r="H78" s="147"/>
      <c r="I78" s="148"/>
      <c r="J78" s="149"/>
      <c r="K78" s="134"/>
      <c r="L78" s="232"/>
      <c r="M78" s="134"/>
      <c r="N78" s="134"/>
      <c r="O78" s="134"/>
    </row>
    <row r="79" spans="2:15" ht="15.75" thickBot="1">
      <c r="B79" s="135"/>
      <c r="C79" s="177"/>
      <c r="D79" s="130"/>
      <c r="E79" s="134"/>
      <c r="F79" s="134"/>
      <c r="G79" s="182"/>
      <c r="H79" s="147"/>
      <c r="I79" s="148"/>
      <c r="J79" s="149"/>
      <c r="K79" s="134"/>
      <c r="L79" s="1112"/>
      <c r="M79" s="134"/>
      <c r="N79" s="134"/>
      <c r="O79" s="134"/>
    </row>
    <row r="80" spans="2:15">
      <c r="B80" s="135">
        <f>+B77+1</f>
        <v>31</v>
      </c>
      <c r="C80" s="177"/>
      <c r="D80" s="130" t="s">
        <v>378</v>
      </c>
      <c r="E80" s="134" t="str">
        <f>"(Sum of Lines: "&amp;B73&amp;" to "&amp;B77&amp;")"</f>
        <v>(Sum of Lines: 26 to 30)</v>
      </c>
      <c r="F80" s="1106"/>
      <c r="G80" s="147">
        <f>SUM(G73:G79)</f>
        <v>42382718.618819676</v>
      </c>
      <c r="H80" s="147"/>
      <c r="I80" s="148"/>
      <c r="J80" s="134"/>
      <c r="K80" s="147"/>
      <c r="L80" s="147">
        <f>SUM(L73:L79)</f>
        <v>42382718.618819676</v>
      </c>
      <c r="M80" s="134"/>
      <c r="N80" s="134"/>
      <c r="O80" s="134"/>
    </row>
    <row r="81" spans="2:15">
      <c r="B81" s="135"/>
      <c r="C81" s="136"/>
      <c r="E81" s="1113"/>
      <c r="F81" s="185"/>
      <c r="G81" s="147"/>
      <c r="H81" s="147"/>
      <c r="I81" s="148"/>
      <c r="J81" s="186"/>
      <c r="K81" s="134"/>
      <c r="L81" s="147"/>
      <c r="M81" s="134"/>
      <c r="N81" s="134"/>
      <c r="O81" s="134"/>
    </row>
    <row r="82" spans="2:15">
      <c r="B82" s="135">
        <f>+B80+1</f>
        <v>32</v>
      </c>
      <c r="C82" s="136"/>
      <c r="D82" s="130" t="s">
        <v>382</v>
      </c>
      <c r="E82" s="148"/>
      <c r="F82" s="148"/>
      <c r="G82" s="147"/>
      <c r="H82" s="147"/>
      <c r="I82" s="148"/>
      <c r="J82" s="134"/>
      <c r="K82" s="134"/>
      <c r="L82" s="147"/>
      <c r="M82" s="134"/>
      <c r="N82" s="134"/>
      <c r="O82" s="134"/>
    </row>
    <row r="83" spans="2:15">
      <c r="B83" s="187">
        <f>+B82+1</f>
        <v>33</v>
      </c>
      <c r="C83" s="177"/>
      <c r="D83" s="130" t="str">
        <f>+D73</f>
        <v xml:space="preserve">  Transmission</v>
      </c>
      <c r="E83" s="134" t="str">
        <f>" (ln "&amp;B63&amp;" + ln "&amp;B64&amp;" - ln "&amp;B73&amp;" - ln "&amp;B74&amp;")"</f>
        <v xml:space="preserve"> (ln 19 + ln 20 - ln 26 - ln 27)</v>
      </c>
      <c r="F83" s="134"/>
      <c r="G83" s="147">
        <f>+G63+G64-G73-G74</f>
        <v>125917698.81306815</v>
      </c>
      <c r="H83" s="147"/>
      <c r="I83" s="148"/>
      <c r="J83" s="184"/>
      <c r="K83" s="134"/>
      <c r="L83" s="147">
        <f>+L63+L64-L73-L74</f>
        <v>125917698.81306815</v>
      </c>
      <c r="M83" s="134"/>
      <c r="N83" s="134"/>
      <c r="O83" s="134"/>
    </row>
    <row r="84" spans="2:15">
      <c r="B84" s="135">
        <f>+B83+1</f>
        <v>34</v>
      </c>
      <c r="C84" s="177"/>
      <c r="D84" s="130" t="str">
        <f>+D75</f>
        <v xml:space="preserve">  General Plant   </v>
      </c>
      <c r="E84" s="134" t="str">
        <f>" (ln "&amp;B65&amp;" + ln "&amp;B66&amp;" - ln "&amp;B75&amp;" - ln "&amp;B76&amp;")"</f>
        <v xml:space="preserve"> (ln 21 + ln 22 - ln 28 - ln 29)</v>
      </c>
      <c r="F84" s="134"/>
      <c r="G84" s="147">
        <f>+G65+G66-G75-G76</f>
        <v>21188310.643256824</v>
      </c>
      <c r="H84" s="147"/>
      <c r="I84" s="148"/>
      <c r="J84" s="186"/>
      <c r="K84" s="134"/>
      <c r="L84" s="147">
        <f>+L65+L66-L75-L76</f>
        <v>21188310.643256824</v>
      </c>
      <c r="M84" s="134"/>
      <c r="N84" s="134"/>
      <c r="O84" s="134"/>
    </row>
    <row r="85" spans="2:15">
      <c r="B85" s="135">
        <f>+B84+1</f>
        <v>35</v>
      </c>
      <c r="C85" s="177"/>
      <c r="D85" s="130" t="str">
        <f>+D77</f>
        <v xml:space="preserve">  Intangible Plant</v>
      </c>
      <c r="E85" s="134" t="str">
        <f>" (ln "&amp;B67&amp;" - ln "&amp;B77&amp;")"</f>
        <v xml:space="preserve"> (ln 23 - ln 30)</v>
      </c>
      <c r="F85" s="134"/>
      <c r="G85" s="147">
        <f>+G67-G77</f>
        <v>0</v>
      </c>
      <c r="H85" s="147"/>
      <c r="I85" s="148"/>
      <c r="J85" s="186"/>
      <c r="K85" s="134"/>
      <c r="L85" s="147">
        <f>+L67-L77</f>
        <v>0</v>
      </c>
      <c r="M85" s="134"/>
      <c r="N85" s="134"/>
      <c r="O85" s="134"/>
    </row>
    <row r="86" spans="2:15" ht="15.75" thickBot="1">
      <c r="B86" s="135"/>
      <c r="C86" s="177"/>
      <c r="D86" s="130"/>
      <c r="E86" s="134"/>
      <c r="F86" s="1101"/>
      <c r="G86" s="182"/>
      <c r="H86" s="147"/>
      <c r="I86" s="148"/>
      <c r="J86" s="186"/>
      <c r="K86" s="134"/>
      <c r="L86" s="182"/>
      <c r="M86" s="134"/>
      <c r="N86" s="134"/>
      <c r="O86" s="134"/>
    </row>
    <row r="87" spans="2:15" ht="15.75">
      <c r="B87" s="135">
        <f>+B85+1</f>
        <v>36</v>
      </c>
      <c r="C87" s="177"/>
      <c r="D87" s="130" t="s">
        <v>377</v>
      </c>
      <c r="E87" s="134" t="str">
        <f>"(Sum of Lines: "&amp;B83&amp;" to "&amp;B85&amp;")"</f>
        <v>(Sum of Lines: 33 to 35)</v>
      </c>
      <c r="F87" s="134"/>
      <c r="G87" s="147">
        <f>SUM(G83:G86)</f>
        <v>147106009.45632496</v>
      </c>
      <c r="H87" s="147"/>
      <c r="I87" s="188" t="s">
        <v>970</v>
      </c>
      <c r="J87" s="1105">
        <f>IF(G87=0,0,+L87/G87)</f>
        <v>1</v>
      </c>
      <c r="K87" s="134"/>
      <c r="L87" s="147">
        <f>SUM(L83:L86)</f>
        <v>147106009.45632496</v>
      </c>
      <c r="M87" s="134"/>
      <c r="N87" s="134"/>
      <c r="O87" s="134"/>
    </row>
    <row r="88" spans="2:15">
      <c r="B88" s="135"/>
      <c r="C88" s="136"/>
      <c r="D88" s="130"/>
      <c r="E88" s="134"/>
      <c r="F88" s="134"/>
      <c r="G88" s="147"/>
      <c r="H88" s="147"/>
      <c r="J88" s="189"/>
      <c r="K88" s="134"/>
      <c r="L88" s="147"/>
      <c r="M88" s="134"/>
      <c r="N88" s="134"/>
      <c r="O88" s="134"/>
    </row>
    <row r="89" spans="2:15">
      <c r="B89" s="135"/>
      <c r="C89" s="136"/>
      <c r="G89" s="41"/>
      <c r="H89" s="41"/>
      <c r="I89" s="41"/>
      <c r="J89" s="41"/>
      <c r="K89" s="41"/>
      <c r="L89" s="41"/>
      <c r="M89"/>
      <c r="N89" s="134"/>
      <c r="O89" s="134"/>
    </row>
    <row r="90" spans="2:15">
      <c r="B90" s="135">
        <f>+B87+1</f>
        <v>37</v>
      </c>
      <c r="C90" s="136"/>
      <c r="D90" s="130" t="s">
        <v>129</v>
      </c>
      <c r="E90" s="134" t="s">
        <v>106</v>
      </c>
      <c r="F90" s="148"/>
      <c r="G90" s="41"/>
      <c r="H90" s="41"/>
      <c r="I90" s="41"/>
      <c r="J90" s="41"/>
      <c r="K90" s="41"/>
      <c r="L90" s="41"/>
      <c r="M90"/>
      <c r="N90" s="134"/>
      <c r="O90" s="134"/>
    </row>
    <row r="91" spans="2:15">
      <c r="B91" s="135">
        <f t="shared" ref="B91:B96" si="1">+B90+1</f>
        <v>38</v>
      </c>
      <c r="C91" s="177"/>
      <c r="D91" s="130" t="s">
        <v>483</v>
      </c>
      <c r="E91" s="134" t="str">
        <f>"(Worksheet B, ln "&amp;'WS B ADIT &amp; ITC'!A17&amp;" &amp; ln "&amp;'WS B ADIT &amp; ITC'!A20&amp;".E)"</f>
        <v>(Worksheet B, ln 2 &amp; ln 5.E)</v>
      </c>
      <c r="F91" s="134"/>
      <c r="G91" s="147">
        <f>'WS B ADIT &amp; ITC'!I17</f>
        <v>0</v>
      </c>
      <c r="H91" s="147"/>
      <c r="I91" s="148" t="s">
        <v>426</v>
      </c>
      <c r="J91" s="149"/>
      <c r="K91" s="134"/>
      <c r="L91" s="147">
        <f>'WS B ADIT &amp; ITC'!I20</f>
        <v>0</v>
      </c>
      <c r="M91" s="134"/>
      <c r="N91" s="134"/>
      <c r="O91" s="134"/>
    </row>
    <row r="92" spans="2:15">
      <c r="B92" s="135">
        <f t="shared" si="1"/>
        <v>39</v>
      </c>
      <c r="C92" s="177"/>
      <c r="D92" s="130" t="s">
        <v>484</v>
      </c>
      <c r="E92" s="134" t="str">
        <f>"(Worksheet B, ln "&amp;'WS B ADIT &amp; ITC'!A25&amp;" &amp; ln "&amp;'WS B ADIT &amp; ITC'!A28&amp;".E)"</f>
        <v>(Worksheet B, ln 7 &amp; ln 10.E)</v>
      </c>
      <c r="F92" s="134"/>
      <c r="G92" s="147">
        <f>-'WS B ADIT &amp; ITC'!I25</f>
        <v>-19518561.576097377</v>
      </c>
      <c r="H92" s="147"/>
      <c r="I92" s="148" t="s">
        <v>428</v>
      </c>
      <c r="J92" s="149"/>
      <c r="K92" s="134"/>
      <c r="L92" s="147">
        <f>-'WS B ADIT &amp; ITC'!I28</f>
        <v>-19185673.602690212</v>
      </c>
      <c r="M92" s="134"/>
      <c r="N92" s="134"/>
      <c r="O92" s="134"/>
    </row>
    <row r="93" spans="2:15">
      <c r="B93" s="135">
        <f t="shared" si="1"/>
        <v>40</v>
      </c>
      <c r="C93" s="177"/>
      <c r="D93" s="130" t="s">
        <v>485</v>
      </c>
      <c r="E93" s="134" t="str">
        <f>"(Worksheet B, ln "&amp;'WS B ADIT &amp; ITC'!A33&amp;" &amp; ln "&amp;'WS B ADIT &amp; ITC'!A36&amp;".E)"</f>
        <v>(Worksheet B, ln 12 &amp; ln 15.E)</v>
      </c>
      <c r="F93" s="134"/>
      <c r="G93" s="147">
        <f>-'WS B ADIT &amp; ITC'!I33</f>
        <v>-3852981.2353615947</v>
      </c>
      <c r="H93" s="147"/>
      <c r="I93" s="148" t="s">
        <v>428</v>
      </c>
      <c r="J93" s="149"/>
      <c r="K93" s="134"/>
      <c r="L93" s="147">
        <f>-'WS B ADIT &amp; ITC'!I36</f>
        <v>-2743846.2123271618</v>
      </c>
      <c r="M93" s="134"/>
      <c r="N93" s="134"/>
      <c r="O93" s="134"/>
    </row>
    <row r="94" spans="2:15">
      <c r="B94" s="135">
        <f t="shared" si="1"/>
        <v>41</v>
      </c>
      <c r="C94" s="177"/>
      <c r="D94" s="130" t="s">
        <v>486</v>
      </c>
      <c r="E94" s="134" t="str">
        <f>"(Worksheet B, ln "&amp;'WS B ADIT &amp; ITC'!A41&amp;" &amp; ln "&amp;'WS B ADIT &amp; ITC'!A44&amp;".E)"</f>
        <v>(Worksheet B, ln 17 &amp; ln 20.E)</v>
      </c>
      <c r="F94" s="134"/>
      <c r="G94" s="147">
        <f>'WS B ADIT &amp; ITC'!I41</f>
        <v>1831494.5288255643</v>
      </c>
      <c r="H94" s="147"/>
      <c r="I94" s="148" t="s">
        <v>428</v>
      </c>
      <c r="J94" s="149"/>
      <c r="K94" s="134"/>
      <c r="L94" s="147">
        <f>'WS B ADIT &amp; ITC'!I44</f>
        <v>1325640.9988255643</v>
      </c>
      <c r="M94" s="134"/>
      <c r="N94" s="134"/>
      <c r="O94" s="134"/>
    </row>
    <row r="95" spans="2:15" ht="15.75" thickBot="1">
      <c r="B95" s="135">
        <f t="shared" si="1"/>
        <v>42</v>
      </c>
      <c r="C95" s="177"/>
      <c r="D95" s="125" t="s">
        <v>432</v>
      </c>
      <c r="E95" s="134" t="str">
        <f>"(Worksheet B, ln "&amp;'WS B ADIT &amp; ITC'!A51&amp;" &amp; ln "&amp;'WS B ADIT &amp; ITC'!A52&amp;".E)"</f>
        <v>(Worksheet B, ln 24 &amp; ln 25.E)</v>
      </c>
      <c r="G95" s="182">
        <f>-'WS B ADIT &amp; ITC'!I51</f>
        <v>0</v>
      </c>
      <c r="H95" s="147"/>
      <c r="I95" s="148" t="s">
        <v>428</v>
      </c>
      <c r="J95" s="149"/>
      <c r="K95" s="134"/>
      <c r="L95" s="182">
        <f>-'WS B ADIT &amp; ITC'!I52</f>
        <v>0</v>
      </c>
      <c r="M95" s="190"/>
      <c r="N95" s="134"/>
      <c r="O95" s="134"/>
    </row>
    <row r="96" spans="2:15">
      <c r="B96" s="135">
        <f t="shared" si="1"/>
        <v>43</v>
      </c>
      <c r="C96" s="177"/>
      <c r="D96" s="130" t="s">
        <v>391</v>
      </c>
      <c r="E96" s="130" t="str">
        <f>"(sum lns "&amp;B91&amp;" to "&amp;B95&amp;")"</f>
        <v>(sum lns 38 to 42)</v>
      </c>
      <c r="F96" s="134"/>
      <c r="G96" s="147">
        <f>SUM(G91:G95)</f>
        <v>-21540048.282633409</v>
      </c>
      <c r="H96" s="41"/>
      <c r="I96" s="148"/>
      <c r="J96" s="157"/>
      <c r="K96" s="134"/>
      <c r="L96" s="147">
        <f>SUM(L91:L95)</f>
        <v>-20603878.816191807</v>
      </c>
      <c r="M96" s="134"/>
      <c r="N96" s="191"/>
    </row>
    <row r="97" spans="2:13">
      <c r="B97" s="135"/>
      <c r="C97" s="136"/>
      <c r="D97" s="130"/>
      <c r="E97" s="134"/>
      <c r="F97" s="134"/>
      <c r="G97" s="147"/>
      <c r="H97" s="41"/>
      <c r="I97" s="148"/>
      <c r="J97" s="186"/>
      <c r="K97" s="134"/>
      <c r="L97" s="147"/>
      <c r="M97" s="134"/>
    </row>
    <row r="98" spans="2:13">
      <c r="B98" s="135">
        <f>+B96+1</f>
        <v>44</v>
      </c>
      <c r="C98" s="136"/>
      <c r="D98" s="130" t="s">
        <v>495</v>
      </c>
      <c r="E98" s="134" t="str">
        <f>"(Worksheet A ln "&amp;'WS A - Rate Base Support'!A69&amp;"."&amp;'WS A - Rate Base Support'!F68 &amp;")"&amp;" ln "&amp;'WS A - Rate Base Support'!A71&amp;"."&amp;'WS A - Rate Base Support'!F68 &amp;")"</f>
        <v>(Worksheet A ln 44.(e)) ln 45.(e))</v>
      </c>
      <c r="F98" s="134"/>
      <c r="G98" s="147">
        <f>'WS A - Rate Base Support'!F69</f>
        <v>0</v>
      </c>
      <c r="H98" s="41"/>
      <c r="I98" s="148" t="s">
        <v>428</v>
      </c>
      <c r="J98" s="149"/>
      <c r="K98" s="134"/>
      <c r="L98" s="147">
        <f>'WS A - Rate Base Support'!F71</f>
        <v>0</v>
      </c>
      <c r="M98" s="134"/>
    </row>
    <row r="99" spans="2:13">
      <c r="B99" s="135"/>
      <c r="C99" s="136"/>
      <c r="D99" s="130"/>
      <c r="E99" s="134"/>
      <c r="F99" s="134"/>
      <c r="G99" s="147"/>
      <c r="H99" s="41"/>
      <c r="I99" s="148"/>
      <c r="J99" s="149"/>
      <c r="K99" s="134"/>
      <c r="L99" s="147"/>
      <c r="M99" s="134"/>
    </row>
    <row r="100" spans="2:13">
      <c r="B100" s="135">
        <f>+B98+1</f>
        <v>45</v>
      </c>
      <c r="C100" s="136"/>
      <c r="D100" s="130" t="s">
        <v>130</v>
      </c>
      <c r="E100" s="134" t="str">
        <f>"(Worksheet A ln "&amp;'WS A - Rate Base Support'!A80&amp;"."&amp;'WS A - Rate Base Support'!F68 &amp;")"</f>
        <v>(Worksheet A ln 51.(e))</v>
      </c>
      <c r="F100" s="134"/>
      <c r="G100" s="147">
        <f>'WS A - Rate Base Support'!F80</f>
        <v>0</v>
      </c>
      <c r="H100" s="41"/>
      <c r="I100" s="148" t="s">
        <v>428</v>
      </c>
      <c r="J100" s="134"/>
      <c r="K100" s="134"/>
      <c r="L100" s="147">
        <f>+G100</f>
        <v>0</v>
      </c>
      <c r="M100" s="134"/>
    </row>
    <row r="101" spans="2:13">
      <c r="B101" s="135"/>
      <c r="C101" s="136"/>
      <c r="D101" s="130"/>
      <c r="E101" s="134"/>
      <c r="F101" s="134"/>
      <c r="G101" s="147"/>
      <c r="H101" s="41"/>
      <c r="I101" s="148"/>
      <c r="J101" s="134"/>
      <c r="K101" s="134"/>
      <c r="L101" s="147"/>
      <c r="M101" s="134"/>
    </row>
    <row r="102" spans="2:13">
      <c r="B102" s="135">
        <f>B100+1</f>
        <v>46</v>
      </c>
      <c r="C102" s="177"/>
      <c r="D102" s="143" t="s">
        <v>639</v>
      </c>
      <c r="E102" s="134" t="s">
        <v>640</v>
      </c>
      <c r="F102" s="134"/>
      <c r="G102" s="147">
        <f>'WS A - Rate Base Support'!F87</f>
        <v>0</v>
      </c>
      <c r="H102" s="147"/>
      <c r="I102" s="148" t="s">
        <v>430</v>
      </c>
      <c r="J102" s="149">
        <f>L235</f>
        <v>1</v>
      </c>
      <c r="K102" s="134"/>
      <c r="L102" s="147">
        <f>+J102*G102</f>
        <v>0</v>
      </c>
      <c r="M102" s="134"/>
    </row>
    <row r="103" spans="2:13">
      <c r="B103" s="135"/>
      <c r="C103" s="136"/>
      <c r="D103" s="130"/>
      <c r="E103" s="134"/>
      <c r="F103" s="134"/>
      <c r="G103" s="147"/>
      <c r="H103" s="41"/>
      <c r="I103" s="148"/>
      <c r="J103" s="134"/>
      <c r="K103" s="134"/>
      <c r="L103" s="147"/>
      <c r="M103" s="134"/>
    </row>
    <row r="104" spans="2:13">
      <c r="B104" s="135">
        <f>+B102+1</f>
        <v>47</v>
      </c>
      <c r="C104" s="136"/>
      <c r="D104" s="130" t="s">
        <v>392</v>
      </c>
      <c r="E104" s="134" t="s">
        <v>294</v>
      </c>
      <c r="F104" s="134"/>
      <c r="G104" s="147"/>
      <c r="H104" s="41"/>
      <c r="I104" s="148"/>
      <c r="J104" s="134"/>
      <c r="K104" s="134"/>
      <c r="L104" s="147"/>
      <c r="M104" s="134"/>
    </row>
    <row r="105" spans="2:13">
      <c r="B105" s="135">
        <f t="shared" ref="B105:B114" si="2">+B104+1</f>
        <v>48</v>
      </c>
      <c r="C105" s="177"/>
      <c r="D105" s="130" t="s">
        <v>494</v>
      </c>
      <c r="E105" s="125" t="str">
        <f>"(1/8 * ln "&amp;B140&amp;")"</f>
        <v>(1/8 * ln 66)</v>
      </c>
      <c r="G105" s="147">
        <f>+G140/8</f>
        <v>202812.1738559097</v>
      </c>
      <c r="H105" s="134"/>
      <c r="I105" s="148"/>
      <c r="J105" s="186"/>
      <c r="K105" s="134"/>
      <c r="L105" s="147">
        <f>+L140/8</f>
        <v>202812.1738559097</v>
      </c>
      <c r="M105" s="130"/>
    </row>
    <row r="106" spans="2:13">
      <c r="B106" s="135">
        <f t="shared" si="2"/>
        <v>49</v>
      </c>
      <c r="C106" s="177"/>
      <c r="D106" s="130" t="s">
        <v>137</v>
      </c>
      <c r="E106" s="134" t="str">
        <f>"(Worksheet C, ln "&amp;'WS C  - Working Capital'!A17&amp;".(F))"</f>
        <v>(Worksheet C, ln 2.(F))</v>
      </c>
      <c r="F106" s="134"/>
      <c r="G106" s="147">
        <f>'WS C  - Working Capital'!I17</f>
        <v>0</v>
      </c>
      <c r="H106" s="41"/>
      <c r="I106" s="148" t="s">
        <v>420</v>
      </c>
      <c r="J106" s="149">
        <f>J140</f>
        <v>1</v>
      </c>
      <c r="K106" s="134"/>
      <c r="L106" s="147">
        <f>+J106*G106</f>
        <v>0</v>
      </c>
      <c r="M106" s="134"/>
    </row>
    <row r="107" spans="2:13">
      <c r="B107" s="135"/>
      <c r="C107" s="177"/>
      <c r="D107" s="130"/>
      <c r="E107" s="134"/>
      <c r="F107" s="134"/>
      <c r="G107" s="147"/>
      <c r="H107" s="98"/>
      <c r="I107" s="148"/>
      <c r="J107" s="149"/>
      <c r="K107" s="134"/>
      <c r="L107" s="147"/>
      <c r="M107" s="134"/>
    </row>
    <row r="108" spans="2:13">
      <c r="B108" s="135">
        <f>+B106+1</f>
        <v>50</v>
      </c>
      <c r="C108" s="177"/>
      <c r="D108" s="130" t="s">
        <v>138</v>
      </c>
      <c r="E108" s="134" t="str">
        <f>"(Worksheet C, ln "&amp;'WS C  - Working Capital'!A21&amp;".(F))"</f>
        <v>(Worksheet C, ln 3.(F))</v>
      </c>
      <c r="F108" s="134"/>
      <c r="G108" s="147">
        <f>'WS C  - Working Capital'!I21</f>
        <v>0</v>
      </c>
      <c r="H108" s="41"/>
      <c r="I108" s="148" t="s">
        <v>430</v>
      </c>
      <c r="J108" s="149">
        <f>L235</f>
        <v>1</v>
      </c>
      <c r="K108" s="134"/>
      <c r="L108" s="147">
        <f>+J108*G108</f>
        <v>0</v>
      </c>
      <c r="M108" s="134"/>
    </row>
    <row r="109" spans="2:13">
      <c r="B109" s="135">
        <f t="shared" si="2"/>
        <v>51</v>
      </c>
      <c r="C109" s="177"/>
      <c r="D109" s="130" t="s">
        <v>326</v>
      </c>
      <c r="E109" s="134" t="str">
        <f>"(Worksheet C, ln "&amp;'WS C  - Working Capital'!A23&amp;".(F))"</f>
        <v>(Worksheet C, ln 4.(F))</v>
      </c>
      <c r="F109" s="134"/>
      <c r="G109" s="147">
        <f>'WS C  - Working Capital'!I23</f>
        <v>0</v>
      </c>
      <c r="H109" s="41"/>
      <c r="I109" s="148" t="s">
        <v>760</v>
      </c>
      <c r="J109" s="149">
        <f>J70</f>
        <v>1</v>
      </c>
      <c r="K109" s="134"/>
      <c r="L109" s="147">
        <f>+J109*G109</f>
        <v>0</v>
      </c>
      <c r="M109" s="134"/>
    </row>
    <row r="110" spans="2:13">
      <c r="B110" s="135">
        <f t="shared" si="2"/>
        <v>52</v>
      </c>
      <c r="C110" s="177"/>
      <c r="D110" s="130" t="s">
        <v>498</v>
      </c>
      <c r="E110" s="134" t="str">
        <f>"(Worksheet C, ln "&amp;'WS C  - Working Capital'!A33&amp;".(G))"</f>
        <v>(Worksheet C, ln 8.(G))</v>
      </c>
      <c r="F110" s="134"/>
      <c r="G110" s="147">
        <f>'WS C  - Working Capital'!J33</f>
        <v>0</v>
      </c>
      <c r="H110" s="41"/>
      <c r="I110" s="148" t="s">
        <v>430</v>
      </c>
      <c r="J110" s="149">
        <f>L235</f>
        <v>1</v>
      </c>
      <c r="K110" s="134"/>
      <c r="L110" s="147">
        <f>+J110*G110</f>
        <v>0</v>
      </c>
      <c r="M110" s="134"/>
    </row>
    <row r="111" spans="2:13">
      <c r="B111" s="135">
        <f t="shared" si="2"/>
        <v>53</v>
      </c>
      <c r="C111" s="177"/>
      <c r="D111" s="130" t="s">
        <v>499</v>
      </c>
      <c r="E111" s="134" t="str">
        <f>"(Worksheet C, ln "&amp;'WS C  - Working Capital'!A33&amp;".(F))"</f>
        <v>(Worksheet C, ln 8.(F))</v>
      </c>
      <c r="F111" s="134"/>
      <c r="G111" s="147">
        <f>'WS C  - Working Capital'!I33</f>
        <v>18526</v>
      </c>
      <c r="H111" s="41"/>
      <c r="I111" s="148" t="s">
        <v>760</v>
      </c>
      <c r="J111" s="149">
        <f>J70</f>
        <v>1</v>
      </c>
      <c r="K111" s="134"/>
      <c r="L111" s="147">
        <f>+G111*J111</f>
        <v>18526</v>
      </c>
      <c r="M111" s="134"/>
    </row>
    <row r="112" spans="2:13">
      <c r="B112" s="135">
        <f t="shared" si="2"/>
        <v>54</v>
      </c>
      <c r="C112" s="177"/>
      <c r="D112" s="130" t="s">
        <v>109</v>
      </c>
      <c r="E112" s="134" t="str">
        <f>"(Worksheet C, ln "&amp;'WS C  - Working Capital'!A33&amp;".(E))"</f>
        <v>(Worksheet C, ln 8.(E))</v>
      </c>
      <c r="F112" s="134"/>
      <c r="G112" s="147">
        <f>'WS C  - Working Capital'!G33</f>
        <v>0</v>
      </c>
      <c r="H112" s="41"/>
      <c r="I112" s="148" t="s">
        <v>428</v>
      </c>
      <c r="J112" s="149">
        <v>1</v>
      </c>
      <c r="K112" s="134"/>
      <c r="L112" s="147">
        <f>+G112</f>
        <v>0</v>
      </c>
      <c r="M112" s="134"/>
    </row>
    <row r="113" spans="2:15" ht="15.75" thickBot="1">
      <c r="B113" s="135">
        <f t="shared" si="2"/>
        <v>55</v>
      </c>
      <c r="C113" s="177"/>
      <c r="D113" s="130" t="s">
        <v>404</v>
      </c>
      <c r="E113" s="134" t="str">
        <f>"(Worksheet C, ln "&amp;'WS C  - Working Capital'!A33&amp;".(D))"</f>
        <v>(Worksheet C, ln 8.(D))</v>
      </c>
      <c r="F113" s="134"/>
      <c r="G113" s="182">
        <f>'WS C  - Working Capital'!E33</f>
        <v>0</v>
      </c>
      <c r="H113" s="147"/>
      <c r="I113" s="148" t="s">
        <v>426</v>
      </c>
      <c r="J113" s="149">
        <v>0</v>
      </c>
      <c r="K113" s="134"/>
      <c r="L113" s="182">
        <f>+G113*J113</f>
        <v>0</v>
      </c>
      <c r="M113" s="134"/>
    </row>
    <row r="114" spans="2:15">
      <c r="B114" s="135">
        <f t="shared" si="2"/>
        <v>56</v>
      </c>
      <c r="C114" s="177"/>
      <c r="D114" s="130" t="s">
        <v>376</v>
      </c>
      <c r="E114" s="130" t="str">
        <f>"(sum lns "&amp;B105&amp;" to "&amp;B113&amp;")"</f>
        <v>(sum lns 48 to 55)</v>
      </c>
      <c r="F114" s="130"/>
      <c r="G114" s="147">
        <f>SUM(G105:G113)</f>
        <v>221338.1738559097</v>
      </c>
      <c r="H114" s="130"/>
      <c r="I114" s="136"/>
      <c r="J114" s="130"/>
      <c r="K114" s="130"/>
      <c r="L114" s="147">
        <f>SUM(L105:L113)</f>
        <v>221338.1738559097</v>
      </c>
      <c r="M114" s="130"/>
    </row>
    <row r="115" spans="2:15">
      <c r="B115" s="135"/>
      <c r="C115" s="136"/>
      <c r="D115" s="130"/>
      <c r="E115" s="130"/>
      <c r="F115" s="130"/>
      <c r="G115" s="147"/>
      <c r="H115" s="130"/>
      <c r="I115" s="136"/>
      <c r="J115" s="130"/>
      <c r="K115" s="130"/>
      <c r="L115" s="147"/>
      <c r="M115" s="130"/>
    </row>
    <row r="116" spans="2:15">
      <c r="B116" s="135">
        <f>+B114+1</f>
        <v>57</v>
      </c>
      <c r="C116" s="136"/>
      <c r="D116" s="130" t="s">
        <v>364</v>
      </c>
      <c r="E116" s="130" t="str">
        <f>"(Note F) (Worksheet D, ln "&amp;'WS D IPP Credits'!A23&amp;".B)"</f>
        <v>(Note F) (Worksheet D, ln 8.B)</v>
      </c>
      <c r="F116" s="130"/>
      <c r="G116" s="147">
        <f>+'WS D IPP Credits'!C21</f>
        <v>0</v>
      </c>
      <c r="H116" s="130"/>
      <c r="I116" s="192" t="s">
        <v>428</v>
      </c>
      <c r="J116" s="149">
        <v>1</v>
      </c>
      <c r="K116" s="134"/>
      <c r="L116" s="147">
        <f>+J116*G116</f>
        <v>0</v>
      </c>
      <c r="M116" s="130"/>
    </row>
    <row r="117" spans="2:15" ht="15.75" thickBot="1">
      <c r="B117" s="135"/>
      <c r="E117" s="134"/>
      <c r="F117" s="134"/>
      <c r="G117" s="182"/>
      <c r="H117" s="134"/>
      <c r="I117" s="148"/>
      <c r="J117" s="134"/>
      <c r="K117" s="134"/>
      <c r="L117" s="182"/>
      <c r="M117" s="134"/>
    </row>
    <row r="118" spans="2:15" ht="15.75" thickBot="1">
      <c r="B118" s="135">
        <f>+B116+1</f>
        <v>58</v>
      </c>
      <c r="C118" s="136"/>
      <c r="D118" s="130" t="str">
        <f>"RATE BASE  (sum lns "&amp;B87&amp;", "&amp;B96&amp;", "&amp;B98&amp;", "&amp;B100&amp;", "&amp;B102&amp;", "&amp;B114&amp;", "&amp;B116&amp;")"</f>
        <v>RATE BASE  (sum lns 36, 43, 44, 45, 46, 56, 57)</v>
      </c>
      <c r="E118" s="134"/>
      <c r="F118" s="134"/>
      <c r="G118" s="193">
        <f>+G114+G98+G96+G87+G116+G100+G102</f>
        <v>125787299.34754747</v>
      </c>
      <c r="H118" s="134"/>
      <c r="I118" s="134"/>
      <c r="J118" s="186"/>
      <c r="K118" s="134"/>
      <c r="L118" s="193">
        <f>+L114+L98+L96+L87+L116+L100+L102</f>
        <v>126723468.81398907</v>
      </c>
      <c r="M118" s="134"/>
    </row>
    <row r="119" spans="2:15" ht="16.5" thickTop="1">
      <c r="B119" s="135"/>
      <c r="C119" s="41"/>
      <c r="D119" s="41"/>
      <c r="E119" s="41"/>
      <c r="F119" s="41"/>
      <c r="G119" s="41"/>
      <c r="H119" s="41"/>
      <c r="I119" s="128"/>
      <c r="J119" s="128"/>
      <c r="K119" s="128"/>
    </row>
    <row r="120" spans="2:15">
      <c r="B120" s="194"/>
      <c r="C120" s="136"/>
      <c r="D120" s="130"/>
      <c r="E120" s="134"/>
      <c r="F120" s="134"/>
      <c r="G120" s="134"/>
      <c r="H120" s="134"/>
      <c r="I120" s="134"/>
      <c r="J120" s="134"/>
      <c r="K120" s="134"/>
      <c r="L120" s="134"/>
      <c r="M120" s="134"/>
    </row>
    <row r="121" spans="2:15">
      <c r="B121" s="194"/>
      <c r="C121" s="136"/>
      <c r="D121" s="130"/>
      <c r="E121" s="134"/>
      <c r="F121" s="148" t="str">
        <f>F51</f>
        <v>AEPTCo subsidiaries in PJM</v>
      </c>
      <c r="G121" s="148"/>
      <c r="H121" s="134"/>
      <c r="I121" s="134"/>
      <c r="J121" s="134"/>
      <c r="K121" s="134"/>
      <c r="L121" s="134"/>
      <c r="M121" s="195"/>
    </row>
    <row r="122" spans="2:15">
      <c r="B122" s="194"/>
      <c r="C122" s="136"/>
      <c r="D122" s="130"/>
      <c r="E122" s="134"/>
      <c r="F122" s="148" t="str">
        <f>F52</f>
        <v>Transmission Cost of Service Formula Rate</v>
      </c>
      <c r="G122" s="148"/>
      <c r="H122" s="134"/>
      <c r="I122" s="134"/>
      <c r="J122" s="134"/>
      <c r="K122" s="134"/>
      <c r="L122" s="134"/>
      <c r="M122" s="195"/>
    </row>
    <row r="123" spans="2:15">
      <c r="B123" s="194"/>
      <c r="C123" s="136"/>
      <c r="E123" s="134"/>
      <c r="F123" s="148" t="str">
        <f>F53</f>
        <v>Utilizing  Actual/Projected FERC Form 1 Data</v>
      </c>
      <c r="G123" s="134"/>
      <c r="H123" s="134"/>
      <c r="I123" s="134"/>
      <c r="J123" s="134"/>
      <c r="K123" s="134"/>
      <c r="L123" s="134"/>
      <c r="M123" s="165"/>
    </row>
    <row r="124" spans="2:15">
      <c r="B124" s="194"/>
      <c r="C124" s="136"/>
      <c r="E124" s="134"/>
      <c r="F124" s="148"/>
      <c r="G124" s="134"/>
      <c r="H124" s="134"/>
      <c r="I124" s="134"/>
      <c r="J124" s="134"/>
      <c r="K124" s="134"/>
      <c r="L124" s="134"/>
      <c r="M124" s="134"/>
    </row>
    <row r="125" spans="2:15">
      <c r="B125" s="194"/>
      <c r="C125" s="136"/>
      <c r="E125" s="196"/>
      <c r="F125" s="148" t="str">
        <f>F55</f>
        <v>AEP Kentucky Transmission Company</v>
      </c>
      <c r="G125" s="196"/>
      <c r="H125" s="196"/>
      <c r="I125" s="196"/>
      <c r="J125" s="196"/>
      <c r="K125" s="196"/>
      <c r="M125" s="134"/>
    </row>
    <row r="126" spans="2:15">
      <c r="B126" s="194"/>
      <c r="C126" s="136"/>
      <c r="E126" s="196"/>
      <c r="F126" s="148"/>
      <c r="G126" s="196"/>
      <c r="H126" s="196"/>
      <c r="I126" s="196"/>
      <c r="J126" s="196"/>
      <c r="K126" s="196"/>
      <c r="M126" s="134"/>
    </row>
    <row r="127" spans="2:15">
      <c r="B127" s="194"/>
      <c r="D127" s="136" t="s">
        <v>421</v>
      </c>
      <c r="E127" s="136" t="s">
        <v>422</v>
      </c>
      <c r="F127" s="136"/>
      <c r="G127" s="136" t="s">
        <v>423</v>
      </c>
      <c r="H127" s="134"/>
      <c r="I127" s="1134" t="s">
        <v>424</v>
      </c>
      <c r="J127" s="1138"/>
      <c r="K127" s="134"/>
      <c r="L127" s="137" t="s">
        <v>425</v>
      </c>
      <c r="M127" s="134"/>
      <c r="N127" s="137"/>
    </row>
    <row r="128" spans="2:15" ht="15.75">
      <c r="B128" s="194"/>
      <c r="D128" s="136"/>
      <c r="E128" s="136"/>
      <c r="F128" s="136"/>
      <c r="G128" s="136"/>
      <c r="H128" s="134"/>
      <c r="I128" s="134"/>
      <c r="J128" s="167"/>
      <c r="K128" s="134"/>
      <c r="M128" s="134"/>
      <c r="N128" s="197"/>
      <c r="O128" s="128"/>
    </row>
    <row r="129" spans="2:15" ht="15.75">
      <c r="B129" s="194"/>
      <c r="C129" s="136"/>
      <c r="D129" s="197" t="s">
        <v>400</v>
      </c>
      <c r="E129" s="169" t="str">
        <f>E59</f>
        <v>Data Sources</v>
      </c>
      <c r="F129" s="170"/>
      <c r="G129" s="134"/>
      <c r="H129" s="134"/>
      <c r="I129" s="134"/>
      <c r="J129" s="136"/>
      <c r="K129" s="134"/>
      <c r="L129" s="169" t="str">
        <f>L59</f>
        <v>Total</v>
      </c>
      <c r="N129" s="197"/>
      <c r="O129" s="128"/>
    </row>
    <row r="130" spans="2:15" ht="15.75">
      <c r="B130" s="194"/>
      <c r="C130" s="136"/>
      <c r="D130" s="172" t="s">
        <v>401</v>
      </c>
      <c r="E130" s="198" t="str">
        <f>E60</f>
        <v>(See "General Notes")</v>
      </c>
      <c r="F130" s="134"/>
      <c r="G130" s="198" t="str">
        <f>G60</f>
        <v>TO Total</v>
      </c>
      <c r="H130" s="174"/>
      <c r="I130" s="1136" t="str">
        <f>I60</f>
        <v>Allocator</v>
      </c>
      <c r="J130" s="1137"/>
      <c r="K130" s="174"/>
      <c r="L130" s="198" t="str">
        <f>L60</f>
        <v>Transmission</v>
      </c>
      <c r="M130" s="134"/>
      <c r="N130" s="197"/>
      <c r="O130" s="128"/>
    </row>
    <row r="131" spans="2:15" ht="15.75">
      <c r="B131" s="135" t="str">
        <f>B61</f>
        <v>Line</v>
      </c>
      <c r="D131" s="130"/>
      <c r="E131" s="134"/>
      <c r="F131" s="134"/>
      <c r="G131" s="172"/>
      <c r="H131" s="199"/>
      <c r="I131" s="197"/>
      <c r="K131" s="199"/>
      <c r="L131" s="172"/>
      <c r="M131" s="134"/>
    </row>
    <row r="132" spans="2:15">
      <c r="B132" s="135" t="str">
        <f>B62</f>
        <v>No.</v>
      </c>
      <c r="C132" s="136"/>
      <c r="D132" s="130" t="s">
        <v>402</v>
      </c>
      <c r="E132" s="134"/>
      <c r="F132" s="134"/>
      <c r="G132" s="134"/>
      <c r="H132" s="134"/>
      <c r="I132" s="148"/>
      <c r="J132" s="134"/>
      <c r="K132" s="134"/>
      <c r="L132" s="134"/>
      <c r="M132" s="134"/>
    </row>
    <row r="133" spans="2:15">
      <c r="B133" s="135">
        <f>+B118+1</f>
        <v>59</v>
      </c>
      <c r="C133" s="136"/>
      <c r="D133" s="130" t="s">
        <v>32</v>
      </c>
      <c r="E133" s="134" t="s">
        <v>492</v>
      </c>
      <c r="F133" s="134"/>
      <c r="G133" s="116">
        <v>0</v>
      </c>
      <c r="H133" s="134"/>
      <c r="I133" s="148"/>
      <c r="J133" s="149"/>
      <c r="K133" s="134"/>
      <c r="L133" s="147"/>
      <c r="M133" s="134"/>
    </row>
    <row r="134" spans="2:15">
      <c r="B134" s="135">
        <f t="shared" ref="B134:B140" si="3">+B133+1</f>
        <v>60</v>
      </c>
      <c r="C134" s="136"/>
      <c r="D134" s="130" t="s">
        <v>45</v>
      </c>
      <c r="E134" s="134" t="s">
        <v>206</v>
      </c>
      <c r="F134" s="134"/>
      <c r="G134" s="116">
        <v>0</v>
      </c>
      <c r="H134" s="134"/>
      <c r="I134" s="148"/>
      <c r="J134" s="149"/>
      <c r="K134" s="134"/>
      <c r="L134" s="147"/>
      <c r="M134" s="134"/>
    </row>
    <row r="135" spans="2:15" ht="15.75" thickBot="1">
      <c r="B135" s="135">
        <f t="shared" si="3"/>
        <v>61</v>
      </c>
      <c r="C135" s="136"/>
      <c r="D135" s="130" t="s">
        <v>433</v>
      </c>
      <c r="E135" s="134" t="s">
        <v>205</v>
      </c>
      <c r="F135" s="134"/>
      <c r="G135" s="112">
        <v>1729404.2316939731</v>
      </c>
      <c r="H135" s="200"/>
      <c r="I135" s="41"/>
      <c r="J135" s="41"/>
      <c r="K135"/>
      <c r="L135"/>
      <c r="M135" s="130"/>
      <c r="N135" s="134"/>
      <c r="O135" s="134"/>
    </row>
    <row r="136" spans="2:15">
      <c r="B136" s="135">
        <f t="shared" si="3"/>
        <v>62</v>
      </c>
      <c r="C136" s="136"/>
      <c r="D136" s="130" t="s">
        <v>46</v>
      </c>
      <c r="E136" s="134" t="str">
        <f>"(sum lns "&amp;B133&amp;"  to "&amp;B135&amp;")"</f>
        <v>(sum lns 59  to 61)</v>
      </c>
      <c r="F136" s="134"/>
      <c r="G136" s="147">
        <f>SUM(G133:G135)</f>
        <v>1729404.2316939731</v>
      </c>
      <c r="H136" s="147"/>
      <c r="I136" s="41"/>
      <c r="J136" s="41"/>
      <c r="K136"/>
      <c r="L136"/>
      <c r="M136" s="130"/>
      <c r="N136" s="134"/>
      <c r="O136" s="134"/>
    </row>
    <row r="137" spans="2:15">
      <c r="B137" s="135">
        <f t="shared" si="3"/>
        <v>63</v>
      </c>
      <c r="C137" s="136"/>
      <c r="D137" s="130" t="s">
        <v>131</v>
      </c>
      <c r="E137" s="134" t="str">
        <f>"(Note G) (Worksheet F, ln "&amp;'WS F Misc Exp'!A33&amp;".C)"</f>
        <v>(Note G) (Worksheet F, ln 14.C)</v>
      </c>
      <c r="F137" s="134"/>
      <c r="G137" s="147">
        <f>+'WS F Misc Exp'!D33</f>
        <v>106906.84084669537</v>
      </c>
      <c r="H137" s="147"/>
      <c r="I137" s="41"/>
      <c r="J137" s="41"/>
      <c r="K137"/>
      <c r="L137"/>
      <c r="M137" s="130"/>
      <c r="N137" s="134"/>
      <c r="O137" s="134"/>
    </row>
    <row r="138" spans="2:15">
      <c r="B138" s="135">
        <f t="shared" si="3"/>
        <v>64</v>
      </c>
      <c r="C138" s="136"/>
      <c r="D138" s="130" t="s">
        <v>360</v>
      </c>
      <c r="E138" s="134" t="s">
        <v>399</v>
      </c>
      <c r="F138" s="134"/>
      <c r="G138" s="116">
        <v>0</v>
      </c>
      <c r="H138" s="147"/>
      <c r="I138" s="41"/>
      <c r="J138" s="41"/>
      <c r="K138"/>
      <c r="L138"/>
      <c r="M138" s="130"/>
      <c r="N138" s="134"/>
      <c r="O138" s="134"/>
    </row>
    <row r="139" spans="2:15" ht="15.75" thickBot="1">
      <c r="B139" s="135">
        <f t="shared" si="3"/>
        <v>65</v>
      </c>
      <c r="C139" s="136"/>
      <c r="D139" s="130" t="s">
        <v>135</v>
      </c>
      <c r="E139" s="134" t="str">
        <f>"(Note I) (Worksheet F, ln "&amp;'WS F Misc Exp'!A21&amp;".C)"</f>
        <v>(Note I) (Worksheet F, ln 4.C)</v>
      </c>
      <c r="F139" s="134"/>
      <c r="G139" s="182">
        <f>+'WS F Misc Exp'!D21</f>
        <v>0</v>
      </c>
      <c r="H139" s="147"/>
      <c r="I139" s="41"/>
      <c r="J139" s="41"/>
      <c r="K139"/>
      <c r="L139"/>
      <c r="M139" s="130"/>
      <c r="N139" s="134"/>
      <c r="O139" s="134"/>
    </row>
    <row r="140" spans="2:15">
      <c r="B140" s="135">
        <f t="shared" si="3"/>
        <v>66</v>
      </c>
      <c r="C140" s="136"/>
      <c r="D140" s="130" t="s">
        <v>202</v>
      </c>
      <c r="E140" s="134" t="str">
        <f>"(lns "&amp;B135&amp;" - "&amp;B137&amp;" - "&amp;B138&amp;" - "&amp;B139&amp;")"</f>
        <v>(lns 61 - 63 - 64 - 65)</v>
      </c>
      <c r="F140" s="130"/>
      <c r="G140" s="147">
        <f>G135-G137-G138-G139</f>
        <v>1622497.3908472776</v>
      </c>
      <c r="H140" s="134"/>
      <c r="I140" s="148" t="s">
        <v>420</v>
      </c>
      <c r="J140" s="149">
        <f>L217</f>
        <v>1</v>
      </c>
      <c r="K140" s="134"/>
      <c r="L140" s="147">
        <f>+J140*G140</f>
        <v>1622497.3908472776</v>
      </c>
      <c r="M140" s="130"/>
      <c r="N140" s="134"/>
      <c r="O140" s="134"/>
    </row>
    <row r="141" spans="2:15">
      <c r="B141" s="135"/>
      <c r="C141" s="136"/>
      <c r="D141" s="130"/>
      <c r="E141" s="134"/>
      <c r="F141" s="134"/>
      <c r="G141" s="41"/>
      <c r="H141" s="147"/>
      <c r="I141" s="41"/>
      <c r="J141" s="41"/>
      <c r="K141"/>
      <c r="L141"/>
      <c r="M141" s="130"/>
      <c r="N141" s="134"/>
      <c r="O141" s="134"/>
    </row>
    <row r="142" spans="2:15">
      <c r="B142" s="135">
        <f>+B140+1</f>
        <v>67</v>
      </c>
      <c r="C142" s="136"/>
      <c r="D142" s="130" t="s">
        <v>403</v>
      </c>
      <c r="E142" s="134" t="s">
        <v>759</v>
      </c>
      <c r="F142" s="134"/>
      <c r="G142" s="116">
        <v>542032.43997783307</v>
      </c>
      <c r="H142" s="200" t="s">
        <v>414</v>
      </c>
      <c r="I142" s="184"/>
      <c r="J142" s="184"/>
      <c r="K142" s="134"/>
      <c r="L142" s="147"/>
      <c r="M142" s="134"/>
      <c r="N142" s="134"/>
      <c r="O142" s="134"/>
    </row>
    <row r="143" spans="2:15">
      <c r="B143" s="135">
        <f t="shared" ref="B143:B149" si="4">+B142+1</f>
        <v>68</v>
      </c>
      <c r="C143" s="136"/>
      <c r="D143" s="130" t="s">
        <v>133</v>
      </c>
      <c r="E143" s="134" t="s">
        <v>207</v>
      </c>
      <c r="F143" s="134"/>
      <c r="G143" s="116">
        <v>46436.335144835968</v>
      </c>
      <c r="H143" s="147"/>
      <c r="I143" s="184"/>
      <c r="J143" s="130"/>
      <c r="K143" s="134"/>
      <c r="L143" s="147"/>
      <c r="M143"/>
      <c r="N143" s="134"/>
      <c r="O143" s="134"/>
    </row>
    <row r="144" spans="2:15">
      <c r="B144" s="135">
        <f t="shared" si="4"/>
        <v>69</v>
      </c>
      <c r="C144" s="136"/>
      <c r="D144" s="130" t="s">
        <v>132</v>
      </c>
      <c r="E144" s="134" t="s">
        <v>395</v>
      </c>
      <c r="F144" s="134"/>
      <c r="G144" s="116">
        <v>67.688526741758096</v>
      </c>
      <c r="H144" s="147"/>
      <c r="I144" s="184"/>
      <c r="J144" s="201"/>
      <c r="K144" s="134"/>
      <c r="L144" s="147"/>
      <c r="M144" s="134"/>
      <c r="N144" s="134"/>
      <c r="O144" s="134"/>
    </row>
    <row r="145" spans="2:15">
      <c r="B145" s="135">
        <f t="shared" si="4"/>
        <v>70</v>
      </c>
      <c r="C145" s="136"/>
      <c r="D145" s="130" t="s">
        <v>407</v>
      </c>
      <c r="E145" s="134" t="s">
        <v>396</v>
      </c>
      <c r="F145" s="134"/>
      <c r="G145" s="116">
        <v>0</v>
      </c>
      <c r="H145" s="147"/>
      <c r="I145" s="184"/>
      <c r="J145" s="184"/>
      <c r="K145" s="134"/>
      <c r="L145" s="147"/>
      <c r="M145" s="134"/>
      <c r="N145" s="134"/>
      <c r="O145" s="134"/>
    </row>
    <row r="146" spans="2:15" ht="15.75" thickBot="1">
      <c r="B146" s="135">
        <f t="shared" si="4"/>
        <v>71</v>
      </c>
      <c r="C146" s="136"/>
      <c r="D146" s="130" t="s">
        <v>134</v>
      </c>
      <c r="E146" s="134" t="s">
        <v>397</v>
      </c>
      <c r="F146" s="134"/>
      <c r="G146" s="112">
        <v>5639.9319300688467</v>
      </c>
      <c r="H146" s="147"/>
      <c r="I146" s="184"/>
      <c r="J146" s="184"/>
      <c r="K146" s="134"/>
      <c r="L146" s="147"/>
      <c r="M146" s="134"/>
      <c r="N146" s="134"/>
      <c r="O146" s="134"/>
    </row>
    <row r="147" spans="2:15">
      <c r="B147" s="135">
        <f>+B146+1</f>
        <v>72</v>
      </c>
      <c r="C147" s="136"/>
      <c r="D147" s="130" t="s">
        <v>408</v>
      </c>
      <c r="E147" s="134" t="str">
        <f>"(ln "&amp;B142&amp;" - sum ln "&amp;B143&amp;"  to ln "&amp;B146&amp;")"</f>
        <v>(ln 67 - sum ln 68  to ln 71)</v>
      </c>
      <c r="F147" s="134"/>
      <c r="G147" s="147">
        <f>G142-SUM(G143:G146)</f>
        <v>489888.4843761865</v>
      </c>
      <c r="H147" s="147"/>
      <c r="I147" s="148" t="s">
        <v>430</v>
      </c>
      <c r="J147" s="149">
        <f>L235</f>
        <v>1</v>
      </c>
      <c r="K147" s="134"/>
      <c r="L147" s="147">
        <f>+J147*G147</f>
        <v>489888.4843761865</v>
      </c>
      <c r="M147" s="134"/>
      <c r="N147" s="134"/>
      <c r="O147" s="134"/>
    </row>
    <row r="148" spans="2:15">
      <c r="B148" s="135">
        <f t="shared" si="4"/>
        <v>73</v>
      </c>
      <c r="C148" s="136"/>
      <c r="D148" s="130" t="s">
        <v>487</v>
      </c>
      <c r="E148" s="134" t="str">
        <f>"(ln "&amp;B143&amp;")"</f>
        <v>(ln 68)</v>
      </c>
      <c r="F148" s="134"/>
      <c r="G148" s="147">
        <f>+G143</f>
        <v>46436.335144835968</v>
      </c>
      <c r="H148" s="147"/>
      <c r="I148" s="159" t="s">
        <v>638</v>
      </c>
      <c r="J148" s="149">
        <f>J70</f>
        <v>1</v>
      </c>
      <c r="K148" s="134"/>
      <c r="L148" s="147">
        <f>+J148*G148</f>
        <v>46436.335144835968</v>
      </c>
      <c r="M148" s="134"/>
      <c r="N148" s="134"/>
      <c r="O148" s="134"/>
    </row>
    <row r="149" spans="2:15">
      <c r="B149" s="135">
        <f t="shared" si="4"/>
        <v>74</v>
      </c>
      <c r="C149" s="136"/>
      <c r="D149" s="130" t="s">
        <v>1</v>
      </c>
      <c r="E149" s="134" t="str">
        <f>"Worksheet F ln "&amp;'WS F Misc Exp'!A44&amp;".(E) (Note L)"</f>
        <v>Worksheet F ln 21.(E) (Note L)</v>
      </c>
      <c r="F149" s="134"/>
      <c r="G149" s="147">
        <f>+'WS F Misc Exp'!F44</f>
        <v>63.649367980178283</v>
      </c>
      <c r="H149" s="147"/>
      <c r="I149" s="148" t="s">
        <v>420</v>
      </c>
      <c r="J149" s="149">
        <f>L217</f>
        <v>1</v>
      </c>
      <c r="K149" s="134"/>
      <c r="L149" s="147">
        <f>J149*G149</f>
        <v>63.649367980178283</v>
      </c>
      <c r="M149" s="134"/>
      <c r="N149" s="134"/>
      <c r="O149" s="134"/>
    </row>
    <row r="150" spans="2:15">
      <c r="B150" s="135">
        <f>B149+1</f>
        <v>75</v>
      </c>
      <c r="C150" s="136"/>
      <c r="D150" s="130" t="s">
        <v>25</v>
      </c>
      <c r="E150" s="134" t="str">
        <f>"Worksheet F ln "&amp;'WS F Misc Exp'!A64&amp;".(E) (Note L)"</f>
        <v>Worksheet F ln 38.(E) (Note L)</v>
      </c>
      <c r="F150" s="134"/>
      <c r="G150" s="147">
        <f>+'WS F Misc Exp'!F64</f>
        <v>0</v>
      </c>
      <c r="H150" s="134"/>
      <c r="I150" s="148" t="s">
        <v>420</v>
      </c>
      <c r="J150" s="149">
        <f>L217</f>
        <v>1</v>
      </c>
      <c r="K150" s="134"/>
      <c r="L150" s="147">
        <f>+J150*G150</f>
        <v>0</v>
      </c>
      <c r="M150" s="134"/>
      <c r="N150" s="134"/>
      <c r="O150" s="134"/>
    </row>
    <row r="151" spans="2:15">
      <c r="B151" s="135">
        <f>+B150+1</f>
        <v>76</v>
      </c>
      <c r="C151" s="136"/>
      <c r="D151" s="130" t="s">
        <v>26</v>
      </c>
      <c r="E151" s="134" t="str">
        <f>"Worksheet F ln "&amp;'WS F Misc Exp'!A72&amp;".(E) (Note L)"</f>
        <v>Worksheet F ln 43.(E) (Note L)</v>
      </c>
      <c r="F151" s="134"/>
      <c r="G151" s="147">
        <f>+'WS F Misc Exp'!F72</f>
        <v>464.11411566165896</v>
      </c>
      <c r="H151" s="1104"/>
      <c r="I151" s="148" t="s">
        <v>428</v>
      </c>
      <c r="J151" s="149">
        <v>1</v>
      </c>
      <c r="K151" s="134"/>
      <c r="L151" s="147">
        <f>+J151*G151</f>
        <v>464.11411566165896</v>
      </c>
      <c r="M151" s="134"/>
      <c r="N151" s="134"/>
      <c r="O151" s="134"/>
    </row>
    <row r="152" spans="2:15">
      <c r="B152" s="135">
        <f>+B151+1</f>
        <v>77</v>
      </c>
      <c r="C152" s="136"/>
      <c r="D152" s="914" t="s">
        <v>794</v>
      </c>
      <c r="E152" s="134" t="str">
        <f>"Worksheet O Ln "&amp;'Worksheet O'!A33&amp;"."&amp;'Worksheet O'!D11&amp;", (Note K &amp; M)"</f>
        <v>Worksheet O Ln 16.(B), (Note K &amp; M)</v>
      </c>
      <c r="F152" s="134"/>
      <c r="G152" s="147">
        <f>'Worksheet O'!D33</f>
        <v>-3000</v>
      </c>
      <c r="H152" s="1104"/>
      <c r="I152" s="148" t="s">
        <v>430</v>
      </c>
      <c r="J152" s="149">
        <f>L235</f>
        <v>1</v>
      </c>
      <c r="K152" s="134"/>
      <c r="L152" s="147">
        <f>+J152*G152</f>
        <v>-3000</v>
      </c>
      <c r="M152" s="134"/>
      <c r="N152" s="134"/>
      <c r="O152" s="134"/>
    </row>
    <row r="153" spans="2:15" ht="15.75" thickBot="1">
      <c r="B153" s="135"/>
      <c r="C153" s="136"/>
      <c r="D153" s="130"/>
      <c r="E153" s="134"/>
      <c r="F153" s="134"/>
      <c r="G153" s="112"/>
      <c r="H153" s="1104"/>
      <c r="I153" s="148"/>
      <c r="J153" s="149"/>
      <c r="K153" s="134"/>
      <c r="L153" s="182"/>
      <c r="M153" s="134"/>
      <c r="N153" s="134"/>
      <c r="O153" s="134"/>
    </row>
    <row r="154" spans="2:15">
      <c r="B154" s="135">
        <f>+B152+1</f>
        <v>78</v>
      </c>
      <c r="C154" s="136"/>
      <c r="D154" s="130" t="s">
        <v>409</v>
      </c>
      <c r="E154" s="134" t="str">
        <f>"(sum lns "&amp;B147&amp;"  to "&amp;B152&amp;")"</f>
        <v>(sum lns 72  to 77)</v>
      </c>
      <c r="F154" s="134"/>
      <c r="G154" s="147">
        <f>SUM(G147:G153)</f>
        <v>533852.5830046644</v>
      </c>
      <c r="H154" s="147"/>
      <c r="I154" s="148"/>
      <c r="J154" s="184"/>
      <c r="K154" s="134"/>
      <c r="L154" s="147">
        <f>SUM(L147:L153)</f>
        <v>533852.5830046644</v>
      </c>
      <c r="M154" s="134"/>
      <c r="N154" s="147"/>
      <c r="O154" s="134"/>
    </row>
    <row r="155" spans="2:15" ht="15.75" thickBot="1">
      <c r="B155" s="135"/>
      <c r="C155" s="136"/>
      <c r="D155" s="130"/>
      <c r="E155" s="134"/>
      <c r="F155" s="134"/>
      <c r="G155" s="182"/>
      <c r="H155" s="134"/>
      <c r="I155" s="148"/>
      <c r="J155" s="184"/>
      <c r="K155" s="134"/>
      <c r="L155" s="182"/>
      <c r="M155" s="134"/>
      <c r="N155" s="134"/>
      <c r="O155" s="134"/>
    </row>
    <row r="156" spans="2:15">
      <c r="B156" s="135">
        <f>+B154+1</f>
        <v>79</v>
      </c>
      <c r="C156" s="136"/>
      <c r="D156" s="130" t="s">
        <v>204</v>
      </c>
      <c r="E156" s="134" t="str">
        <f>"(ln "&amp;B140&amp;" + ln "&amp;B154&amp;")"</f>
        <v>(ln 66 + ln 78)</v>
      </c>
      <c r="F156" s="134"/>
      <c r="G156" s="147">
        <f>+G140+G154</f>
        <v>2156349.973851942</v>
      </c>
      <c r="H156" s="147"/>
      <c r="I156" s="148"/>
      <c r="J156" s="134"/>
      <c r="K156" s="134"/>
      <c r="L156" s="147">
        <f>L140+L154</f>
        <v>2156349.973851942</v>
      </c>
      <c r="M156" s="134"/>
      <c r="N156" s="134"/>
      <c r="O156" s="134"/>
    </row>
    <row r="157" spans="2:15" ht="15.75" thickBot="1">
      <c r="B157" s="187">
        <f>+B156+1</f>
        <v>80</v>
      </c>
      <c r="C157" s="136"/>
      <c r="D157" s="130" t="s">
        <v>280</v>
      </c>
      <c r="E157" s="130"/>
      <c r="F157" s="134"/>
      <c r="G157" s="112">
        <v>0</v>
      </c>
      <c r="H157" s="147"/>
      <c r="I157" s="148" t="s">
        <v>428</v>
      </c>
      <c r="J157" s="149">
        <f>J63</f>
        <v>0</v>
      </c>
      <c r="K157" s="134"/>
      <c r="L157" s="182">
        <f>J157*G157</f>
        <v>0</v>
      </c>
      <c r="M157" s="134"/>
      <c r="N157" s="134"/>
      <c r="O157" s="134"/>
    </row>
    <row r="158" spans="2:15">
      <c r="B158" s="135">
        <f>+B157+1</f>
        <v>81</v>
      </c>
      <c r="C158" s="136"/>
      <c r="D158" s="130" t="s">
        <v>410</v>
      </c>
      <c r="E158" s="134" t="str">
        <f>"(ln "&amp;B156&amp;" + ln "&amp;B157&amp;")"</f>
        <v>(ln 79 + ln 80)</v>
      </c>
      <c r="F158" s="134"/>
      <c r="G158" s="147">
        <f>+G156+G157</f>
        <v>2156349.973851942</v>
      </c>
      <c r="H158" s="147"/>
      <c r="I158" s="148"/>
      <c r="J158" s="134"/>
      <c r="K158" s="134"/>
      <c r="L158" s="147">
        <f>+L156+L157</f>
        <v>2156349.973851942</v>
      </c>
      <c r="M158" s="134"/>
      <c r="N158" s="134"/>
      <c r="O158" s="134"/>
    </row>
    <row r="159" spans="2:15">
      <c r="B159" s="135"/>
      <c r="C159" s="136"/>
      <c r="D159" s="130"/>
      <c r="E159" s="134"/>
      <c r="F159" s="134"/>
      <c r="G159" s="147"/>
      <c r="H159" s="134"/>
      <c r="I159" s="134"/>
      <c r="J159" s="134"/>
      <c r="K159" s="134"/>
      <c r="L159" s="147"/>
      <c r="M159" s="134"/>
      <c r="N159" s="134"/>
      <c r="O159" s="134"/>
    </row>
    <row r="160" spans="2:15">
      <c r="B160" s="135">
        <f>+B158+1</f>
        <v>82</v>
      </c>
      <c r="C160" s="136"/>
      <c r="D160" s="130" t="s">
        <v>413</v>
      </c>
      <c r="E160" s="148"/>
      <c r="F160" s="148"/>
      <c r="G160" s="147"/>
      <c r="H160" s="134"/>
      <c r="I160" s="148"/>
      <c r="J160" s="134"/>
      <c r="K160" s="134"/>
      <c r="L160" s="147"/>
      <c r="M160" s="134"/>
      <c r="N160" s="134"/>
      <c r="O160" s="134"/>
    </row>
    <row r="161" spans="2:15">
      <c r="B161" s="187">
        <f>+B160+1</f>
        <v>83</v>
      </c>
      <c r="C161" s="136"/>
      <c r="D161" s="178" t="str">
        <f>+D135</f>
        <v xml:space="preserve">  Transmission </v>
      </c>
      <c r="E161" s="145" t="s">
        <v>208</v>
      </c>
      <c r="F161" s="179"/>
      <c r="G161" s="120">
        <v>3818363.7367100799</v>
      </c>
      <c r="H161" s="1103"/>
      <c r="I161" s="202" t="s">
        <v>420</v>
      </c>
      <c r="J161" s="149">
        <f>L217</f>
        <v>1</v>
      </c>
      <c r="K161" s="180"/>
      <c r="L161" s="181">
        <f>J161*G161</f>
        <v>3818363.7367100799</v>
      </c>
      <c r="M161" s="180"/>
      <c r="N161" s="134"/>
      <c r="O161" s="134"/>
    </row>
    <row r="162" spans="2:15">
      <c r="B162" s="135">
        <f>+B161+1</f>
        <v>84</v>
      </c>
      <c r="C162" s="136"/>
      <c r="D162" s="130" t="s">
        <v>434</v>
      </c>
      <c r="E162" s="179" t="s">
        <v>209</v>
      </c>
      <c r="F162" s="134"/>
      <c r="G162" s="120">
        <v>1219372.1052698256</v>
      </c>
      <c r="H162" s="147"/>
      <c r="I162" s="148" t="s">
        <v>430</v>
      </c>
      <c r="J162" s="149">
        <f>L235</f>
        <v>1</v>
      </c>
      <c r="K162" s="134"/>
      <c r="L162" s="147">
        <f>+J162*G162</f>
        <v>1219372.1052698256</v>
      </c>
      <c r="M162" s="134"/>
      <c r="N162" s="134"/>
      <c r="O162" s="134"/>
    </row>
    <row r="163" spans="2:15">
      <c r="B163" s="135">
        <f>+B162+1</f>
        <v>85</v>
      </c>
      <c r="C163" s="136"/>
      <c r="D163" s="130" t="s">
        <v>435</v>
      </c>
      <c r="E163" s="179" t="s">
        <v>210</v>
      </c>
      <c r="F163" s="134"/>
      <c r="G163" s="120">
        <v>0</v>
      </c>
      <c r="H163" s="147"/>
      <c r="I163" s="148" t="s">
        <v>430</v>
      </c>
      <c r="J163" s="149">
        <f>L235</f>
        <v>1</v>
      </c>
      <c r="K163" s="134"/>
      <c r="L163" s="147">
        <f>+J163*G163</f>
        <v>0</v>
      </c>
      <c r="M163" s="134"/>
      <c r="N163" s="134"/>
      <c r="O163" s="134"/>
    </row>
    <row r="164" spans="2:15" ht="15.75" thickBot="1">
      <c r="B164" s="135"/>
      <c r="C164" s="136"/>
      <c r="D164" s="130"/>
      <c r="E164" s="145"/>
      <c r="F164" s="148"/>
      <c r="G164" s="1102"/>
      <c r="H164" s="1101"/>
      <c r="I164" s="148"/>
      <c r="J164" s="149"/>
      <c r="K164" s="134"/>
      <c r="L164" s="182"/>
      <c r="M164" s="134"/>
      <c r="N164" s="134"/>
      <c r="O164" s="134"/>
    </row>
    <row r="165" spans="2:15" ht="15" customHeight="1">
      <c r="B165" s="135">
        <f>+B163+1</f>
        <v>86</v>
      </c>
      <c r="C165" s="136"/>
      <c r="D165" s="130" t="s">
        <v>104</v>
      </c>
      <c r="E165" s="203" t="str">
        <f>"(Ln "&amp;B161&amp;"+"&amp;B162&amp;"+"&amp;B163&amp;")"</f>
        <v>(Ln 83+84+85)</v>
      </c>
      <c r="F165" s="134"/>
      <c r="G165" s="147">
        <f>+G161+G162+G163+G164</f>
        <v>5037735.841979906</v>
      </c>
      <c r="H165" s="134"/>
      <c r="I165" s="148"/>
      <c r="J165" s="134"/>
      <c r="K165" s="134"/>
      <c r="L165" s="147">
        <f>+L161+L162+L163+L164</f>
        <v>5037735.841979906</v>
      </c>
      <c r="M165" s="134"/>
      <c r="N165" s="134"/>
      <c r="O165" s="134"/>
    </row>
    <row r="166" spans="2:15">
      <c r="B166" s="135"/>
      <c r="C166" s="136"/>
      <c r="D166" s="130"/>
      <c r="E166" s="204"/>
      <c r="F166" s="134"/>
      <c r="G166" s="147"/>
      <c r="H166" s="134"/>
      <c r="I166" s="148"/>
      <c r="J166" s="134"/>
      <c r="K166" s="134"/>
      <c r="L166" s="147"/>
      <c r="M166" s="134"/>
      <c r="N166" s="134"/>
      <c r="O166" s="134"/>
    </row>
    <row r="167" spans="2:15">
      <c r="B167" s="135">
        <f>+B165+1</f>
        <v>87</v>
      </c>
      <c r="C167" s="136"/>
      <c r="D167" s="130" t="s">
        <v>365</v>
      </c>
      <c r="E167" s="125" t="s">
        <v>211</v>
      </c>
      <c r="G167" s="147"/>
      <c r="H167" s="134"/>
      <c r="I167" s="148"/>
      <c r="J167" s="134"/>
      <c r="K167" s="134"/>
      <c r="L167" s="147"/>
      <c r="M167" s="134"/>
      <c r="N167" s="195"/>
      <c r="O167" s="134"/>
    </row>
    <row r="168" spans="2:15">
      <c r="B168" s="135">
        <f t="shared" ref="B168:B173" si="5">+B167+1</f>
        <v>88</v>
      </c>
      <c r="C168" s="136"/>
      <c r="D168" s="130" t="s">
        <v>436</v>
      </c>
      <c r="G168" s="147"/>
      <c r="H168" s="134"/>
      <c r="I168" s="148"/>
      <c r="K168" s="134"/>
      <c r="L168" s="147"/>
      <c r="M168" s="134"/>
      <c r="N168" s="134"/>
      <c r="O168" s="134"/>
    </row>
    <row r="169" spans="2:15">
      <c r="B169" s="135">
        <f t="shared" si="5"/>
        <v>89</v>
      </c>
      <c r="C169" s="136"/>
      <c r="D169" s="130" t="s">
        <v>437</v>
      </c>
      <c r="E169" s="134" t="str">
        <f>"Worksheet H ln "&amp;'WS H-p1 Other Taxes'!A43&amp;"."&amp;'WS H-p1 Other Taxes'!I10&amp;""</f>
        <v>Worksheet H ln 23.(D)</v>
      </c>
      <c r="F169" s="134"/>
      <c r="G169" s="147">
        <f>+'WS H-p1 Other Taxes'!I43</f>
        <v>0</v>
      </c>
      <c r="H169" s="147"/>
      <c r="I169" s="148" t="s">
        <v>430</v>
      </c>
      <c r="J169" s="149">
        <f>L235</f>
        <v>1</v>
      </c>
      <c r="K169" s="134"/>
      <c r="L169" s="147">
        <f>+J169*G169</f>
        <v>0</v>
      </c>
      <c r="M169" s="190"/>
      <c r="N169" s="134"/>
      <c r="O169" s="134"/>
    </row>
    <row r="170" spans="2:15">
      <c r="B170" s="135">
        <f t="shared" si="5"/>
        <v>90</v>
      </c>
      <c r="C170" s="136"/>
      <c r="D170" s="130" t="s">
        <v>438</v>
      </c>
      <c r="E170" s="134" t="s">
        <v>414</v>
      </c>
      <c r="F170" s="134"/>
      <c r="G170" s="147"/>
      <c r="H170" s="147"/>
      <c r="I170" s="148"/>
      <c r="K170" s="134"/>
      <c r="L170" s="147"/>
      <c r="M170" s="134"/>
      <c r="N170" s="134"/>
      <c r="O170" s="134"/>
    </row>
    <row r="171" spans="2:15">
      <c r="B171" s="135">
        <f t="shared" si="5"/>
        <v>91</v>
      </c>
      <c r="C171" s="136"/>
      <c r="D171" s="130" t="s">
        <v>439</v>
      </c>
      <c r="E171" s="134" t="str">
        <f>"Worksheet H-p2 ln "&amp;'WS H-p2 Detail of Tax Amts'!A22&amp;"."&amp;'WS H-p2 Detail of Tax Amts'!E19&amp; " &amp; ln "&amp;'WS H-p2 Detail of Tax Amts'!A22&amp;"."&amp;'WS H-p2 Detail of Tax Amts'!I19&amp;""</f>
        <v>Worksheet H-p2 ln 3.(C) &amp; ln 3.(G)</v>
      </c>
      <c r="F171" s="134"/>
      <c r="G171" s="147">
        <f>'WS H-p2 Detail of Tax Amts'!E22</f>
        <v>1139000</v>
      </c>
      <c r="H171" s="147"/>
      <c r="I171" s="148" t="s">
        <v>428</v>
      </c>
      <c r="J171" s="149">
        <v>1</v>
      </c>
      <c r="K171" s="134"/>
      <c r="L171" s="147">
        <f>'WS H-p2 Detail of Tax Amts'!I22</f>
        <v>1139000</v>
      </c>
      <c r="M171" s="205"/>
      <c r="N171" s="195"/>
      <c r="O171" s="134"/>
    </row>
    <row r="172" spans="2:15">
      <c r="B172" s="135">
        <f t="shared" si="5"/>
        <v>92</v>
      </c>
      <c r="C172" s="136"/>
      <c r="D172" s="130" t="s">
        <v>490</v>
      </c>
      <c r="E172" s="134" t="str">
        <f>"Worksheet H ln "&amp;'WS H-p1 Other Taxes'!A43&amp;"."&amp;'WS H-p1 Other Taxes'!M10&amp;""</f>
        <v>Worksheet H ln 23.(F)</v>
      </c>
      <c r="F172" s="134"/>
      <c r="G172" s="147">
        <f>+'WS H-p1 Other Taxes'!M43</f>
        <v>0</v>
      </c>
      <c r="H172" s="41"/>
      <c r="I172" s="148" t="s">
        <v>426</v>
      </c>
      <c r="J172" s="149">
        <v>0</v>
      </c>
      <c r="K172" s="134"/>
      <c r="L172" s="147">
        <f>+J172*G172</f>
        <v>0</v>
      </c>
      <c r="M172" s="134"/>
      <c r="N172" s="134"/>
      <c r="O172" s="134"/>
    </row>
    <row r="173" spans="2:15" ht="15.75" thickBot="1">
      <c r="B173" s="135">
        <f t="shared" si="5"/>
        <v>93</v>
      </c>
      <c r="C173" s="136"/>
      <c r="D173" s="130" t="s">
        <v>440</v>
      </c>
      <c r="E173" s="134" t="str">
        <f>"Worksheet H ln "&amp;'WS H-p1 Other Taxes'!A43&amp;"."&amp;'WS H-p1 Other Taxes'!K10&amp;""</f>
        <v>Worksheet H ln 23.(E)</v>
      </c>
      <c r="F173" s="134"/>
      <c r="G173" s="182">
        <f>+'WS H-p1 Other Taxes'!K43</f>
        <v>0</v>
      </c>
      <c r="H173" s="41"/>
      <c r="I173" s="148" t="s">
        <v>760</v>
      </c>
      <c r="J173" s="149">
        <f>J70</f>
        <v>1</v>
      </c>
      <c r="K173" s="134"/>
      <c r="L173" s="182">
        <f>+J173*G173</f>
        <v>0</v>
      </c>
      <c r="M173" s="134"/>
      <c r="N173" s="134"/>
      <c r="O173" s="134"/>
    </row>
    <row r="174" spans="2:15">
      <c r="B174" s="135">
        <f>+B173+1</f>
        <v>94</v>
      </c>
      <c r="C174" s="136"/>
      <c r="D174" s="130" t="s">
        <v>366</v>
      </c>
      <c r="E174" s="145" t="str">
        <f>"(sum lns "&amp;B169&amp;" to "&amp;B173&amp;")"</f>
        <v>(sum lns 89 to 93)</v>
      </c>
      <c r="F174" s="134"/>
      <c r="G174" s="147">
        <f>SUM(G169:G173)</f>
        <v>1139000</v>
      </c>
      <c r="H174" s="134"/>
      <c r="I174" s="148"/>
      <c r="J174" s="206"/>
      <c r="K174" s="134"/>
      <c r="L174" s="147">
        <f>SUM(L169:L173)</f>
        <v>1139000</v>
      </c>
      <c r="M174" s="134"/>
      <c r="N174" s="134"/>
      <c r="O174" s="134"/>
    </row>
    <row r="175" spans="2:15">
      <c r="B175" s="135"/>
      <c r="C175" s="136"/>
      <c r="D175" s="130"/>
      <c r="E175" s="134"/>
      <c r="F175" s="134"/>
      <c r="G175" s="134"/>
      <c r="H175" s="134"/>
      <c r="I175" s="148"/>
      <c r="J175" s="206"/>
      <c r="K175" s="134"/>
      <c r="L175" s="134"/>
      <c r="M175" s="207"/>
      <c r="N175" s="134"/>
      <c r="O175" s="134"/>
    </row>
    <row r="176" spans="2:15">
      <c r="B176" s="135">
        <f>+B174+1</f>
        <v>95</v>
      </c>
      <c r="C176" s="136"/>
      <c r="D176" s="130" t="s">
        <v>139</v>
      </c>
      <c r="E176" s="134" t="s">
        <v>212</v>
      </c>
      <c r="F176" s="208"/>
      <c r="G176" s="134"/>
      <c r="H176" s="41"/>
      <c r="I176" s="196"/>
      <c r="K176" s="134"/>
      <c r="L176" s="209"/>
      <c r="M176" s="134"/>
      <c r="N176" s="134"/>
      <c r="O176" s="134"/>
    </row>
    <row r="177" spans="2:15">
      <c r="B177" s="135">
        <f t="shared" ref="B177:B182" si="6">+B176+1</f>
        <v>96</v>
      </c>
      <c r="C177" s="136"/>
      <c r="D177" s="190" t="s">
        <v>140</v>
      </c>
      <c r="E177" s="134"/>
      <c r="F177" s="210"/>
      <c r="G177" s="211">
        <f>IF(F356&gt;0,1-(((1-F357)*(1-F356))/(1-F357*F356*F358)),0)</f>
        <v>0.24918399999999996</v>
      </c>
      <c r="H177" s="212"/>
      <c r="I177" s="212"/>
      <c r="K177" s="213"/>
      <c r="L177" s="209"/>
      <c r="M177" s="134"/>
      <c r="N177" s="134"/>
      <c r="O177" s="134"/>
    </row>
    <row r="178" spans="2:15">
      <c r="B178" s="135">
        <f t="shared" si="6"/>
        <v>97</v>
      </c>
      <c r="C178" s="136"/>
      <c r="D178" s="125" t="s">
        <v>141</v>
      </c>
      <c r="E178" s="134"/>
      <c r="F178" s="210"/>
      <c r="G178" s="211">
        <f>IF(L249&gt;0,($G177/(1-$G177))*(1-$L249/$L252),0)</f>
        <v>0.25377584964972516</v>
      </c>
      <c r="H178" s="212"/>
      <c r="I178" s="212"/>
      <c r="K178" s="213"/>
      <c r="L178" s="209"/>
      <c r="M178" s="134"/>
      <c r="N178" s="134"/>
      <c r="O178" s="134"/>
    </row>
    <row r="179" spans="2:15">
      <c r="B179" s="135">
        <f t="shared" si="6"/>
        <v>98</v>
      </c>
      <c r="C179" s="136"/>
      <c r="D179" s="130" t="str">
        <f>"       where WCLTD=(ln "&amp;B249&amp;") and WACC = (ln "&amp;B252&amp;")"</f>
        <v xml:space="preserve">       where WCLTD=(ln 136) and WACC = (ln 139)</v>
      </c>
      <c r="E179" s="134"/>
      <c r="F179" s="208"/>
      <c r="G179" s="134"/>
      <c r="H179" s="212"/>
      <c r="I179" s="212"/>
      <c r="J179" s="214"/>
      <c r="K179" s="213"/>
      <c r="L179" s="215"/>
      <c r="M179" s="134"/>
      <c r="N179" s="134"/>
      <c r="O179" s="134"/>
    </row>
    <row r="180" spans="2:15">
      <c r="B180" s="135">
        <f t="shared" si="6"/>
        <v>99</v>
      </c>
      <c r="C180" s="136"/>
      <c r="D180" s="130" t="s">
        <v>213</v>
      </c>
      <c r="E180" s="216"/>
      <c r="F180" s="210"/>
      <c r="G180" s="134"/>
      <c r="H180" s="41"/>
      <c r="I180" s="196"/>
      <c r="J180" s="214"/>
      <c r="K180" s="213"/>
      <c r="L180" s="209"/>
      <c r="M180" s="134"/>
      <c r="N180" s="134"/>
      <c r="O180" s="134"/>
    </row>
    <row r="181" spans="2:15">
      <c r="B181" s="135">
        <f t="shared" si="6"/>
        <v>100</v>
      </c>
      <c r="C181" s="136"/>
      <c r="D181" s="190" t="str">
        <f>"      GRCF=1 / (1 - T)  = (from ln "&amp;B177&amp;")"</f>
        <v xml:space="preserve">      GRCF=1 / (1 - T)  = (from ln 96)</v>
      </c>
      <c r="E181" s="208"/>
      <c r="F181" s="208"/>
      <c r="G181" s="217">
        <f>IF(G177&gt;0,1/(1-G177),0)</f>
        <v>1.3318842432766482</v>
      </c>
      <c r="H181" s="41"/>
      <c r="I181" s="159"/>
      <c r="J181" s="218"/>
      <c r="K181" s="219"/>
      <c r="L181" s="220"/>
      <c r="M181" s="134"/>
      <c r="N181" s="134"/>
      <c r="O181" s="134"/>
    </row>
    <row r="182" spans="2:15">
      <c r="B182" s="135">
        <f t="shared" si="6"/>
        <v>101</v>
      </c>
      <c r="C182" s="136"/>
      <c r="D182" s="130" t="s">
        <v>142</v>
      </c>
      <c r="E182" s="184" t="s">
        <v>300</v>
      </c>
      <c r="F182" s="208"/>
      <c r="G182" s="120">
        <v>0</v>
      </c>
      <c r="H182" s="3"/>
      <c r="I182" s="159"/>
      <c r="J182" s="873"/>
      <c r="K182" s="147"/>
      <c r="M182" s="148"/>
      <c r="N182" s="134"/>
      <c r="O182" s="134"/>
    </row>
    <row r="183" spans="2:15">
      <c r="B183" s="135">
        <f t="shared" ref="B183:B189" si="7">+B182+1</f>
        <v>102</v>
      </c>
      <c r="C183" s="136"/>
      <c r="D183" s="130" t="s">
        <v>558</v>
      </c>
      <c r="E183" s="134" t="s">
        <v>761</v>
      </c>
      <c r="F183" s="210"/>
      <c r="G183" s="120">
        <v>15297.646678671088</v>
      </c>
      <c r="H183" s="3"/>
      <c r="I183" s="161" t="s">
        <v>642</v>
      </c>
      <c r="J183" s="149">
        <f>NP_h</f>
        <v>1</v>
      </c>
      <c r="K183" s="147"/>
      <c r="L183" s="147">
        <f>+G183*J183</f>
        <v>15297.646678671088</v>
      </c>
      <c r="M183" s="134"/>
      <c r="N183" s="134"/>
      <c r="O183" s="134"/>
    </row>
    <row r="184" spans="2:15">
      <c r="B184" s="135">
        <f t="shared" si="7"/>
        <v>103</v>
      </c>
      <c r="C184" s="136"/>
      <c r="D184" s="130" t="s">
        <v>641</v>
      </c>
      <c r="E184" s="134" t="s">
        <v>761</v>
      </c>
      <c r="F184" s="210"/>
      <c r="G184" s="120">
        <v>39792.373436249996</v>
      </c>
      <c r="H184" s="3"/>
      <c r="I184" s="161" t="s">
        <v>642</v>
      </c>
      <c r="J184" s="149">
        <f>NP_h</f>
        <v>1</v>
      </c>
      <c r="K184" s="147"/>
      <c r="L184" s="147">
        <f>+G184*J184</f>
        <v>39792.373436249996</v>
      </c>
      <c r="M184" s="134"/>
      <c r="N184" s="134"/>
      <c r="O184" s="134"/>
    </row>
    <row r="185" spans="2:15">
      <c r="B185" s="135">
        <f t="shared" si="7"/>
        <v>104</v>
      </c>
      <c r="C185" s="136"/>
      <c r="D185" s="190" t="s">
        <v>143</v>
      </c>
      <c r="E185" s="221" t="str">
        <f>"(ln "&amp;B178&amp;" * ln "&amp;B191&amp;")"</f>
        <v>(ln 97 * ln 109)</v>
      </c>
      <c r="F185" s="222"/>
      <c r="G185" s="147">
        <f>+G178*G191</f>
        <v>2376437.8797937864</v>
      </c>
      <c r="H185" s="3"/>
      <c r="I185" s="159"/>
      <c r="J185" s="867"/>
      <c r="K185" s="147"/>
      <c r="L185" s="147">
        <f>+L191*G178</f>
        <v>2394124.4713137401</v>
      </c>
      <c r="M185" s="134"/>
      <c r="N185" s="134"/>
      <c r="O185" s="134"/>
    </row>
    <row r="186" spans="2:15">
      <c r="B186" s="135">
        <f t="shared" si="7"/>
        <v>105</v>
      </c>
      <c r="C186" s="136"/>
      <c r="D186" s="125" t="s">
        <v>144</v>
      </c>
      <c r="E186" s="221" t="str">
        <f>"(ln "&amp;B181&amp;" * ln "&amp;B182&amp;")"</f>
        <v>(ln 100 * ln 101)</v>
      </c>
      <c r="F186" s="221"/>
      <c r="G186" s="147">
        <f>G181*G182</f>
        <v>0</v>
      </c>
      <c r="H186" s="3"/>
      <c r="I186" s="161" t="s">
        <v>642</v>
      </c>
      <c r="J186" s="149">
        <f>NP_h</f>
        <v>1</v>
      </c>
      <c r="K186" s="147"/>
      <c r="L186" s="147">
        <f>+G186*J186</f>
        <v>0</v>
      </c>
      <c r="M186" s="134"/>
      <c r="N186" s="134"/>
      <c r="O186" s="134"/>
    </row>
    <row r="187" spans="2:15">
      <c r="B187" s="135">
        <f t="shared" si="7"/>
        <v>106</v>
      </c>
      <c r="C187" s="136"/>
      <c r="D187" s="125" t="s">
        <v>558</v>
      </c>
      <c r="E187" s="221" t="str">
        <f>"(ln "&amp;B181&amp;" * ln "&amp;B183&amp;")"</f>
        <v>(ln 100 * ln 102)</v>
      </c>
      <c r="F187" s="221"/>
      <c r="G187" s="147">
        <f>G181*G183</f>
        <v>20374.694570535372</v>
      </c>
      <c r="H187" s="3"/>
      <c r="I187" s="161"/>
      <c r="J187" s="149"/>
      <c r="K187" s="147"/>
      <c r="L187" s="147">
        <f>G181*L183</f>
        <v>20374.694570535372</v>
      </c>
      <c r="M187" s="134"/>
      <c r="N187" s="134"/>
      <c r="O187" s="134"/>
    </row>
    <row r="188" spans="2:15">
      <c r="B188" s="135">
        <f t="shared" si="7"/>
        <v>107</v>
      </c>
      <c r="C188" s="136"/>
      <c r="D188" s="130" t="s">
        <v>641</v>
      </c>
      <c r="E188" s="221" t="str">
        <f>"(ln "&amp;B181&amp;" * ln "&amp;B184&amp;")"</f>
        <v>(ln 100 * ln 103)</v>
      </c>
      <c r="F188" s="221"/>
      <c r="G188" s="868">
        <f>G181*G184</f>
        <v>52998.835182321622</v>
      </c>
      <c r="H188" s="3"/>
      <c r="I188" s="161"/>
      <c r="J188" s="149"/>
      <c r="K188" s="147"/>
      <c r="L188" s="868">
        <f>G181*L184</f>
        <v>52998.835182321622</v>
      </c>
      <c r="M188" s="134"/>
      <c r="N188" s="134"/>
      <c r="O188" s="134"/>
    </row>
    <row r="189" spans="2:15">
      <c r="B189" s="187">
        <f t="shared" si="7"/>
        <v>108</v>
      </c>
      <c r="C189" s="136"/>
      <c r="D189" s="190" t="s">
        <v>367</v>
      </c>
      <c r="E189" s="134" t="str">
        <f>"(sum lns "&amp;B185&amp;" to "&amp;B188&amp;")"</f>
        <v>(sum lns 104 to 107)</v>
      </c>
      <c r="F189" s="221"/>
      <c r="G189" s="161">
        <f>SUM(G185:G188)</f>
        <v>2449811.4095466435</v>
      </c>
      <c r="H189" s="41"/>
      <c r="I189" s="159" t="s">
        <v>414</v>
      </c>
      <c r="J189" s="223"/>
      <c r="K189" s="147"/>
      <c r="L189" s="161">
        <f>SUM(L185:L188)</f>
        <v>2467498.0010665972</v>
      </c>
      <c r="M189" s="134"/>
      <c r="N189" s="134"/>
      <c r="O189" s="134"/>
    </row>
    <row r="190" spans="2:15">
      <c r="B190" s="187"/>
      <c r="C190" s="136"/>
      <c r="D190" s="190"/>
      <c r="E190" s="134"/>
      <c r="F190" s="221"/>
      <c r="G190" s="161"/>
      <c r="H190" s="41"/>
      <c r="I190" s="159"/>
      <c r="J190" s="223"/>
      <c r="K190" s="147"/>
      <c r="L190" s="161"/>
      <c r="M190" s="134"/>
      <c r="N190" s="134"/>
      <c r="O190" s="134"/>
    </row>
    <row r="191" spans="2:15">
      <c r="B191" s="187">
        <f>+B189+1</f>
        <v>109</v>
      </c>
      <c r="C191" s="136"/>
      <c r="D191" s="190" t="s">
        <v>489</v>
      </c>
      <c r="E191" s="190" t="str">
        <f>"(ln "&amp;B118&amp;" * ln "&amp;B252&amp;")"</f>
        <v>(ln 58 * ln 139)</v>
      </c>
      <c r="F191" s="186"/>
      <c r="G191" s="224">
        <f>+$L252*G118</f>
        <v>9364318.4844967388</v>
      </c>
      <c r="H191" s="134"/>
      <c r="I191" s="159"/>
      <c r="J191" s="147"/>
      <c r="K191" s="147"/>
      <c r="L191" s="224">
        <f>+L252*L118</f>
        <v>9434012.2380369809</v>
      </c>
      <c r="M191" s="134"/>
      <c r="N191" s="209"/>
      <c r="O191" s="209"/>
    </row>
    <row r="192" spans="2:15">
      <c r="B192" s="135"/>
      <c r="C192" s="136"/>
      <c r="D192" s="190"/>
      <c r="G192" s="147"/>
      <c r="H192" s="147"/>
      <c r="I192" s="159"/>
      <c r="J192" s="159"/>
      <c r="K192" s="147"/>
      <c r="L192" s="147"/>
      <c r="M192" s="134"/>
    </row>
    <row r="193" spans="2:13">
      <c r="B193" s="135">
        <f>+B191+1</f>
        <v>110</v>
      </c>
      <c r="C193" s="136"/>
      <c r="D193" s="225" t="s">
        <v>398</v>
      </c>
      <c r="F193" s="179"/>
      <c r="G193" s="147">
        <f>-'WS D IPP Credits'!C13</f>
        <v>0</v>
      </c>
      <c r="H193" s="147"/>
      <c r="I193" s="192" t="s">
        <v>428</v>
      </c>
      <c r="J193" s="149">
        <v>1</v>
      </c>
      <c r="K193" s="181"/>
      <c r="L193" s="147">
        <f>+J193*G193</f>
        <v>0</v>
      </c>
      <c r="M193" s="180"/>
    </row>
    <row r="194" spans="2:13">
      <c r="B194" s="135"/>
      <c r="C194" s="136"/>
      <c r="D194" s="225"/>
      <c r="F194" s="179"/>
      <c r="G194" s="147"/>
      <c r="H194" s="147"/>
      <c r="I194" s="192"/>
      <c r="J194" s="149"/>
      <c r="K194" s="181"/>
      <c r="L194" s="147"/>
      <c r="M194" s="180"/>
    </row>
    <row r="195" spans="2:13">
      <c r="B195" s="135">
        <f>+B193+1</f>
        <v>111</v>
      </c>
      <c r="C195" s="136"/>
      <c r="D195" s="225" t="str">
        <f>"(Gains) / Losses on Sales of Plant Held for Future Use (Worksheet N, ln "&amp;'WS N - Sale of Plant Held'!A33&amp;", Cols. ("&amp;'WS N - Sale of Plant Held'!O12&amp;" &amp; "&amp;'WS N - Sale of Plant Held'!S12&amp;")"</f>
        <v>(Gains) / Losses on Sales of Plant Held for Future Use (Worksheet N, ln 4, Cols. ((F) &amp; (H))</v>
      </c>
      <c r="F195" s="179"/>
      <c r="G195" s="147">
        <f>+'WS N - Sale of Plant Held'!O33</f>
        <v>0</v>
      </c>
      <c r="H195" s="147"/>
      <c r="I195" s="192"/>
      <c r="J195" s="149"/>
      <c r="K195" s="181"/>
      <c r="L195" s="147">
        <f>'WS N - Sale of Plant Held'!S33</f>
        <v>0</v>
      </c>
      <c r="M195" s="180"/>
    </row>
    <row r="196" spans="2:13">
      <c r="B196" s="135"/>
      <c r="C196" s="136"/>
      <c r="D196" s="225"/>
      <c r="F196" s="179"/>
      <c r="G196" s="147"/>
      <c r="H196" s="147"/>
      <c r="I196" s="192"/>
      <c r="J196" s="149"/>
      <c r="K196" s="181"/>
      <c r="L196" s="147"/>
      <c r="M196" s="180"/>
    </row>
    <row r="197" spans="2:13">
      <c r="B197" s="135">
        <f>+B195+1</f>
        <v>112</v>
      </c>
      <c r="C197" s="136"/>
      <c r="D197" s="225" t="str">
        <f>" Tax Impact on Net Loss / (Gain) on Sales of Plant Held for Future Use (ln "&amp;B195&amp;" * ln"&amp;B178&amp;")"</f>
        <v xml:space="preserve"> Tax Impact on Net Loss / (Gain) on Sales of Plant Held for Future Use (ln 111 * ln97)</v>
      </c>
      <c r="F197" s="179"/>
      <c r="G197" s="147">
        <f>-+G178*G195</f>
        <v>0</v>
      </c>
      <c r="H197" s="147"/>
      <c r="I197" s="192"/>
      <c r="J197" s="149"/>
      <c r="K197" s="181"/>
      <c r="L197" s="147">
        <f>L195*-G178</f>
        <v>0</v>
      </c>
      <c r="M197" s="180"/>
    </row>
    <row r="198" spans="2:13" ht="15.75" thickBot="1">
      <c r="B198" s="135"/>
      <c r="C198" s="136"/>
      <c r="D198" s="130"/>
      <c r="G198" s="182"/>
      <c r="H198" s="226"/>
      <c r="I198" s="159"/>
      <c r="J198" s="159"/>
      <c r="K198" s="147"/>
      <c r="L198" s="182"/>
      <c r="M198" s="134"/>
    </row>
    <row r="199" spans="2:13" ht="15.75" thickBot="1">
      <c r="B199" s="135">
        <f>+B197+1</f>
        <v>113</v>
      </c>
      <c r="C199" s="136"/>
      <c r="D199" s="125" t="s">
        <v>47</v>
      </c>
      <c r="G199" s="227">
        <f>+G193+G191+G189+G174+G165+G158+G195+G197</f>
        <v>20147215.70987523</v>
      </c>
      <c r="L199" s="227">
        <f>+L193+L191+L189+L174+L165+L158+L195+L197</f>
        <v>20234596.054935426</v>
      </c>
      <c r="M199" s="134"/>
    </row>
    <row r="200" spans="2:13" ht="15.75" thickTop="1">
      <c r="B200" s="135"/>
      <c r="C200" s="136"/>
      <c r="D200" s="130" t="str">
        <f>"    (sum lns "&amp;B158&amp;", "&amp;B165&amp;", "&amp;B174&amp;", "&amp;B189&amp;", "&amp;B191&amp;", "&amp;B193&amp;", "&amp;B195&amp;", "&amp;B197&amp;")"</f>
        <v xml:space="preserve">    (sum lns 81, 86, 94, 108, 109, 110, 111, 112)</v>
      </c>
      <c r="F200" s="143"/>
      <c r="M200" s="134"/>
    </row>
    <row r="201" spans="2:13">
      <c r="B201" s="135"/>
      <c r="C201" s="136"/>
      <c r="F201" s="143"/>
      <c r="M201" s="134"/>
    </row>
    <row r="202" spans="2:13">
      <c r="B202" s="135"/>
      <c r="C202" s="136"/>
      <c r="D202" s="130"/>
      <c r="F202" s="196" t="str">
        <f>F121</f>
        <v>AEPTCo subsidiaries in PJM</v>
      </c>
      <c r="M202" s="195"/>
    </row>
    <row r="203" spans="2:13">
      <c r="B203" s="135"/>
      <c r="C203" s="136"/>
      <c r="D203" s="130"/>
      <c r="F203" s="196" t="str">
        <f>F122</f>
        <v>Transmission Cost of Service Formula Rate</v>
      </c>
      <c r="M203" s="195"/>
    </row>
    <row r="204" spans="2:13">
      <c r="B204" s="125"/>
      <c r="C204" s="136"/>
      <c r="F204" s="196" t="str">
        <f>F123</f>
        <v>Utilizing  Actual/Projected FERC Form 1 Data</v>
      </c>
      <c r="M204" s="165"/>
    </row>
    <row r="205" spans="2:13">
      <c r="B205" s="135"/>
      <c r="C205" s="136"/>
      <c r="E205" s="196"/>
      <c r="F205" s="196"/>
      <c r="G205" s="196"/>
      <c r="H205" s="196"/>
      <c r="I205" s="196"/>
      <c r="J205" s="196"/>
      <c r="K205" s="196"/>
      <c r="M205" s="134"/>
    </row>
    <row r="206" spans="2:13">
      <c r="B206" s="135"/>
      <c r="C206" s="136"/>
      <c r="E206" s="130"/>
      <c r="F206" s="196" t="str">
        <f>F125</f>
        <v>AEP Kentucky Transmission Company</v>
      </c>
      <c r="G206" s="130"/>
      <c r="H206" s="130"/>
      <c r="I206" s="130"/>
      <c r="J206" s="130"/>
      <c r="K206" s="130"/>
      <c r="L206" s="130"/>
      <c r="M206" s="130"/>
    </row>
    <row r="207" spans="2:13">
      <c r="B207" s="135"/>
      <c r="C207" s="136"/>
      <c r="E207" s="130"/>
      <c r="F207" s="196"/>
      <c r="G207" s="130"/>
      <c r="H207" s="130"/>
      <c r="I207" s="130"/>
      <c r="J207" s="130"/>
      <c r="K207" s="130"/>
      <c r="L207" s="130"/>
      <c r="M207" s="130"/>
    </row>
    <row r="208" spans="2:13" ht="15.75">
      <c r="B208" s="135"/>
      <c r="C208" s="136"/>
      <c r="F208" s="197" t="s">
        <v>372</v>
      </c>
      <c r="H208" s="130"/>
      <c r="I208" s="130"/>
      <c r="J208" s="130"/>
      <c r="K208" s="130"/>
      <c r="L208" s="130"/>
      <c r="M208" s="134"/>
    </row>
    <row r="209" spans="2:16" ht="15.75">
      <c r="B209" s="135"/>
      <c r="C209" s="136"/>
      <c r="D209" s="228"/>
      <c r="E209" s="130"/>
      <c r="F209" s="130"/>
      <c r="G209" s="130"/>
      <c r="H209" s="130"/>
      <c r="I209" s="130"/>
      <c r="J209" s="130"/>
      <c r="K209" s="130"/>
      <c r="L209" s="130"/>
      <c r="M209" s="134"/>
    </row>
    <row r="210" spans="2:16" ht="15.75">
      <c r="B210" s="135" t="s">
        <v>416</v>
      </c>
      <c r="C210" s="136"/>
      <c r="D210" s="228"/>
      <c r="E210" s="130"/>
      <c r="F210" s="130"/>
      <c r="G210" s="130"/>
      <c r="H210" s="130"/>
      <c r="I210" s="130"/>
      <c r="J210" s="130"/>
      <c r="K210" s="130"/>
      <c r="L210" s="130"/>
      <c r="M210" s="134"/>
    </row>
    <row r="211" spans="2:16" ht="15.75" thickBot="1">
      <c r="B211" s="141" t="s">
        <v>417</v>
      </c>
      <c r="C211" s="136"/>
      <c r="D211" s="130" t="s">
        <v>510</v>
      </c>
      <c r="E211" s="130"/>
      <c r="F211" s="130"/>
      <c r="G211" s="130"/>
      <c r="H211" s="130"/>
      <c r="I211" s="130"/>
      <c r="J211" s="130"/>
      <c r="M211" s="134"/>
      <c r="P211"/>
    </row>
    <row r="212" spans="2:16">
      <c r="B212" s="135">
        <f>+B199+1</f>
        <v>114</v>
      </c>
      <c r="C212" s="136"/>
      <c r="D212" s="130" t="s">
        <v>464</v>
      </c>
      <c r="E212" s="229" t="str">
        <f>"(ln "&amp;B63&amp;")"</f>
        <v>(ln 19)</v>
      </c>
      <c r="F212" s="130"/>
      <c r="H212" s="134"/>
      <c r="I212" s="134"/>
      <c r="J212" s="134"/>
      <c r="K212" s="134"/>
      <c r="L212" s="147">
        <f>+G63</f>
        <v>162457315.9030177</v>
      </c>
      <c r="M212" s="134"/>
      <c r="P212"/>
    </row>
    <row r="213" spans="2:16">
      <c r="B213" s="135">
        <f>+B212+1</f>
        <v>115</v>
      </c>
      <c r="C213" s="136"/>
      <c r="D213" s="130" t="str">
        <f>"  Less transmission plant excluded from PJM Tariff  (Worksheet A, ln "&amp;'WS A - Rate Base Support'!A62&amp;"."&amp;'WS A - Rate Base Support'!E47&amp;") (Note P)"</f>
        <v xml:space="preserve">  Less transmission plant excluded from PJM Tariff  (Worksheet A, ln 42.(d)) (Note P)</v>
      </c>
      <c r="G213" s="196"/>
      <c r="L213" s="114">
        <f>'WS A - Rate Base Support'!E62</f>
        <v>0</v>
      </c>
      <c r="M213" s="134"/>
      <c r="P213"/>
    </row>
    <row r="214" spans="2:16" ht="36" customHeight="1" thickBot="1">
      <c r="B214" s="135">
        <f>+B213+1</f>
        <v>116</v>
      </c>
      <c r="C214" s="136"/>
      <c r="D214" s="130" t="str">
        <f>"  Less transmission plant included in OATT Ancillary Services (Worksheet A, ln "&amp;'WS A - Rate Base Support'!A62&amp;", Col. "&amp;'WS A - Rate Base Support'!C47&amp;")  (Note Q)"</f>
        <v xml:space="preserve">  Less transmission plant included in OATT Ancillary Services (Worksheet A, ln 42, Col. (b))  (Note Q)</v>
      </c>
      <c r="E214" s="130"/>
      <c r="F214" s="130"/>
      <c r="G214" s="148"/>
      <c r="H214" s="134"/>
      <c r="I214" s="134"/>
      <c r="J214" s="148"/>
      <c r="K214" s="134"/>
      <c r="L214" s="182">
        <f>'WS A - Rate Base Support'!C62</f>
        <v>0</v>
      </c>
      <c r="M214" s="134"/>
      <c r="P214"/>
    </row>
    <row r="215" spans="2:16">
      <c r="B215" s="135">
        <f>+B214+1</f>
        <v>117</v>
      </c>
      <c r="C215" s="136"/>
      <c r="D215" s="130" t="s">
        <v>511</v>
      </c>
      <c r="E215" s="145" t="str">
        <f>"(ln "&amp;B212&amp;" - ln "&amp;B213&amp;" - ln "&amp;B214&amp;")"</f>
        <v>(ln 114 - ln 115 - ln 116)</v>
      </c>
      <c r="F215" s="130"/>
      <c r="H215" s="134"/>
      <c r="I215" s="134"/>
      <c r="J215" s="148"/>
      <c r="K215" s="134"/>
      <c r="L215" s="147">
        <f>L212-L213-L214</f>
        <v>162457315.9030177</v>
      </c>
      <c r="M215" s="134"/>
      <c r="P215"/>
    </row>
    <row r="216" spans="2:16" ht="9" customHeight="1">
      <c r="B216" s="135"/>
      <c r="C216" s="136"/>
      <c r="E216" s="130"/>
      <c r="F216" s="130"/>
      <c r="G216" s="148"/>
      <c r="H216" s="134"/>
      <c r="I216" s="134"/>
      <c r="J216" s="148"/>
      <c r="K216" s="134"/>
      <c r="M216" s="134"/>
      <c r="P216"/>
    </row>
    <row r="217" spans="2:16" ht="15.75" customHeight="1">
      <c r="B217" s="135">
        <f>+B215+1</f>
        <v>118</v>
      </c>
      <c r="C217" s="136"/>
      <c r="D217" s="130" t="s">
        <v>512</v>
      </c>
      <c r="E217" s="136" t="str">
        <f>"(ln "&amp;B215&amp;" / ln "&amp;B212&amp;")"</f>
        <v>(ln 117 / ln 114)</v>
      </c>
      <c r="F217" s="139"/>
      <c r="H217" s="139"/>
      <c r="I217" s="137"/>
      <c r="J217" s="137"/>
      <c r="K217" s="188" t="s">
        <v>441</v>
      </c>
      <c r="L217" s="230">
        <f>IF(L212=0,1,L215/L212)</f>
        <v>1</v>
      </c>
      <c r="M217" s="134"/>
      <c r="P217"/>
    </row>
    <row r="218" spans="2:16" ht="15.75">
      <c r="B218" s="135"/>
      <c r="C218" s="136"/>
      <c r="D218" s="228"/>
      <c r="E218" s="130"/>
      <c r="F218" s="130"/>
      <c r="G218" s="134"/>
      <c r="H218" s="130"/>
      <c r="I218" s="136"/>
      <c r="J218" s="130"/>
      <c r="K218" s="130"/>
      <c r="L218" s="130"/>
      <c r="M218" s="134"/>
    </row>
    <row r="219" spans="2:16">
      <c r="B219" s="135"/>
      <c r="C219" s="136"/>
      <c r="D219" s="130"/>
      <c r="E219" s="130"/>
      <c r="F219" s="130"/>
      <c r="G219" s="134"/>
      <c r="H219" s="130"/>
      <c r="I219" s="136"/>
      <c r="J219" s="130"/>
      <c r="K219" s="130"/>
      <c r="L219" s="130"/>
      <c r="M219" s="134"/>
    </row>
    <row r="220" spans="2:16" ht="15.75">
      <c r="B220" s="135"/>
      <c r="C220" s="136"/>
      <c r="D220" s="228"/>
      <c r="E220" s="130"/>
      <c r="F220" s="130"/>
      <c r="G220" s="134"/>
      <c r="H220" s="130"/>
      <c r="I220" s="136"/>
      <c r="J220" s="130"/>
      <c r="K220" s="130"/>
      <c r="L220" s="147"/>
      <c r="M220" s="134"/>
    </row>
    <row r="221" spans="2:16" ht="15.75">
      <c r="B221" s="135"/>
      <c r="C221" s="136"/>
      <c r="D221" s="228"/>
      <c r="E221" s="130"/>
      <c r="F221" s="130"/>
      <c r="G221" s="134"/>
      <c r="H221" s="130"/>
      <c r="I221" s="136"/>
      <c r="J221" s="130"/>
      <c r="K221" s="130"/>
      <c r="L221" s="130"/>
      <c r="M221" s="134"/>
    </row>
    <row r="222" spans="2:16" ht="15.75">
      <c r="B222" s="135"/>
      <c r="C222" s="136"/>
      <c r="D222" s="228"/>
      <c r="E222" s="130"/>
      <c r="F222" s="130"/>
      <c r="G222" s="134"/>
      <c r="H222" s="130"/>
      <c r="I222" s="136"/>
      <c r="J222" s="130"/>
      <c r="K222" s="130"/>
      <c r="L222" s="130"/>
      <c r="M222" s="134"/>
    </row>
    <row r="223" spans="2:16" ht="15.75">
      <c r="B223" s="135"/>
      <c r="C223" s="136"/>
      <c r="D223" s="228"/>
      <c r="E223" s="130"/>
      <c r="F223" s="130"/>
      <c r="G223" s="134"/>
      <c r="H223" s="130"/>
      <c r="I223" s="136"/>
      <c r="J223" s="130"/>
      <c r="K223" s="130"/>
      <c r="L223" s="130"/>
      <c r="M223" s="134"/>
    </row>
    <row r="224" spans="2:16" ht="15.75">
      <c r="B224" s="135"/>
      <c r="C224" s="136"/>
      <c r="D224" s="130"/>
      <c r="E224" s="130"/>
      <c r="F224" s="130"/>
      <c r="G224" s="134"/>
      <c r="H224" s="130"/>
      <c r="I224" s="136"/>
      <c r="J224" s="130"/>
      <c r="K224" s="130"/>
      <c r="L224" s="228"/>
      <c r="M224" s="134"/>
    </row>
    <row r="225" spans="2:13" ht="15.75">
      <c r="B225" s="135"/>
      <c r="C225" s="136"/>
      <c r="D225" s="228"/>
      <c r="E225" s="130"/>
      <c r="F225" s="130"/>
      <c r="G225" s="134"/>
      <c r="H225" s="130"/>
      <c r="I225" s="136"/>
      <c r="J225" s="130"/>
      <c r="K225" s="130"/>
      <c r="L225" s="130"/>
      <c r="M225" s="134"/>
    </row>
    <row r="226" spans="2:13" ht="45">
      <c r="B226" s="135">
        <f>B217+1</f>
        <v>119</v>
      </c>
      <c r="C226" s="136"/>
      <c r="D226" s="130" t="s">
        <v>373</v>
      </c>
      <c r="E226" s="148" t="s">
        <v>145</v>
      </c>
      <c r="F226" s="148" t="s">
        <v>482</v>
      </c>
      <c r="G226" s="231" t="s">
        <v>504</v>
      </c>
      <c r="H226" s="196" t="s">
        <v>418</v>
      </c>
      <c r="I226" s="148"/>
      <c r="J226" s="134"/>
      <c r="K226" s="134"/>
      <c r="L226" s="134"/>
      <c r="M226" s="134"/>
    </row>
    <row r="227" spans="2:13">
      <c r="B227" s="135">
        <f t="shared" ref="B227:B233" si="8">+B226+1</f>
        <v>120</v>
      </c>
      <c r="C227" s="136"/>
      <c r="D227" s="176" t="s">
        <v>320</v>
      </c>
      <c r="E227" s="134"/>
      <c r="F227" s="134"/>
      <c r="G227" s="147"/>
      <c r="H227" s="147"/>
      <c r="I227" s="148"/>
      <c r="J227" s="149"/>
      <c r="K227" s="134"/>
      <c r="L227" s="147"/>
      <c r="M227" s="134"/>
    </row>
    <row r="228" spans="2:13">
      <c r="B228" s="135">
        <f t="shared" si="8"/>
        <v>121</v>
      </c>
      <c r="C228" s="136"/>
      <c r="D228" s="130" t="s">
        <v>427</v>
      </c>
      <c r="E228" s="134" t="s">
        <v>349</v>
      </c>
      <c r="F228" s="113">
        <v>0</v>
      </c>
      <c r="G228" s="113">
        <v>542732.88750891166</v>
      </c>
      <c r="H228" s="232">
        <f>+F228+G228</f>
        <v>542732.88750891166</v>
      </c>
      <c r="I228" s="136" t="s">
        <v>420</v>
      </c>
      <c r="J228" s="149">
        <f>L217</f>
        <v>1</v>
      </c>
      <c r="K228" s="233"/>
      <c r="L228" s="147">
        <f>(F228+G228)*J228</f>
        <v>542732.88750891166</v>
      </c>
      <c r="M228" s="134"/>
    </row>
    <row r="229" spans="2:13">
      <c r="B229" s="135">
        <f t="shared" si="8"/>
        <v>122</v>
      </c>
      <c r="C229" s="136"/>
      <c r="D229" s="130" t="s">
        <v>550</v>
      </c>
      <c r="E229" s="134" t="s">
        <v>262</v>
      </c>
      <c r="F229" s="113">
        <v>0</v>
      </c>
      <c r="G229" s="113">
        <v>0</v>
      </c>
      <c r="H229" s="147">
        <f>+F229+G229</f>
        <v>0</v>
      </c>
      <c r="I229" s="148" t="s">
        <v>426</v>
      </c>
      <c r="J229" s="149">
        <v>0</v>
      </c>
      <c r="K229" s="233"/>
      <c r="L229" s="147">
        <f>(F229+G229)*J229</f>
        <v>0</v>
      </c>
      <c r="M229" s="134"/>
    </row>
    <row r="230" spans="2:13">
      <c r="B230" s="135"/>
      <c r="C230" s="136"/>
      <c r="D230" s="130"/>
      <c r="E230" s="134"/>
      <c r="F230" s="113"/>
      <c r="G230" s="113"/>
      <c r="H230" s="232"/>
      <c r="I230" s="148"/>
      <c r="J230" s="149"/>
      <c r="K230" s="233"/>
      <c r="L230" s="147"/>
      <c r="M230" s="134"/>
    </row>
    <row r="231" spans="2:13">
      <c r="B231" s="135">
        <f>+B229+1</f>
        <v>123</v>
      </c>
      <c r="C231" s="136"/>
      <c r="D231" s="176" t="s">
        <v>320</v>
      </c>
      <c r="E231" s="134"/>
      <c r="F231" s="134"/>
      <c r="G231" s="147"/>
      <c r="H231" s="147"/>
      <c r="I231" s="148"/>
      <c r="J231" s="149"/>
      <c r="K231" s="134"/>
      <c r="L231" s="147"/>
      <c r="M231" s="134"/>
    </row>
    <row r="232" spans="2:13" ht="15.75" thickBot="1">
      <c r="B232" s="135">
        <f t="shared" si="8"/>
        <v>124</v>
      </c>
      <c r="C232" s="136"/>
      <c r="D232" s="130" t="s">
        <v>491</v>
      </c>
      <c r="E232" s="134" t="s">
        <v>214</v>
      </c>
      <c r="F232" s="1030">
        <v>0</v>
      </c>
      <c r="G232" s="1030">
        <v>0</v>
      </c>
      <c r="H232" s="182">
        <f>+F232+G232</f>
        <v>0</v>
      </c>
      <c r="I232" s="148" t="s">
        <v>426</v>
      </c>
      <c r="J232" s="149">
        <v>0</v>
      </c>
      <c r="K232" s="233"/>
      <c r="L232" s="182">
        <f>(F232+G232)*J232</f>
        <v>0</v>
      </c>
      <c r="M232" s="134"/>
    </row>
    <row r="233" spans="2:13" ht="15.75">
      <c r="B233" s="135">
        <f t="shared" si="8"/>
        <v>125</v>
      </c>
      <c r="C233" s="136"/>
      <c r="D233" s="130" t="s">
        <v>418</v>
      </c>
      <c r="E233" s="134" t="str">
        <f>"(sum lns "&amp;B228&amp;", "&amp;B229&amp;", &amp; "&amp;B232&amp;")"</f>
        <v>(sum lns 121, 122, &amp; 124)</v>
      </c>
      <c r="F233" s="147">
        <f>SUM(F227:F232)</f>
        <v>0</v>
      </c>
      <c r="G233" s="134">
        <f>SUM(G227:G232)</f>
        <v>542732.88750891166</v>
      </c>
      <c r="H233" s="134">
        <f>SUM(H227:H232)</f>
        <v>542732.88750891166</v>
      </c>
      <c r="I233" s="148"/>
      <c r="J233" s="134"/>
      <c r="K233" s="134"/>
      <c r="L233" s="147">
        <f>SUM(L227:L232)</f>
        <v>542732.88750891166</v>
      </c>
      <c r="M233" s="169"/>
    </row>
    <row r="234" spans="2:13">
      <c r="B234" s="135"/>
      <c r="C234" s="136"/>
      <c r="D234" s="130" t="s">
        <v>414</v>
      </c>
      <c r="E234" s="134" t="s">
        <v>414</v>
      </c>
      <c r="F234" s="134"/>
      <c r="H234" s="134"/>
      <c r="I234" s="196"/>
    </row>
    <row r="235" spans="2:13" ht="15.75">
      <c r="B235" s="135">
        <f>B233+1</f>
        <v>126</v>
      </c>
      <c r="C235" s="136"/>
      <c r="D235" s="130" t="s">
        <v>374</v>
      </c>
      <c r="E235" s="134"/>
      <c r="F235" s="134"/>
      <c r="G235" s="134"/>
      <c r="H235" s="134"/>
      <c r="I235" s="196"/>
      <c r="K235" s="234" t="s">
        <v>375</v>
      </c>
      <c r="L235" s="235">
        <f>L233/(F233+G233)</f>
        <v>1</v>
      </c>
    </row>
    <row r="236" spans="2:13" ht="15.75">
      <c r="B236" s="135"/>
      <c r="C236" s="136"/>
      <c r="D236" s="130"/>
      <c r="E236" s="134"/>
      <c r="F236" s="134"/>
      <c r="G236" s="134"/>
      <c r="H236" s="134"/>
      <c r="I236" s="196"/>
      <c r="K236" s="234"/>
      <c r="L236" s="235"/>
    </row>
    <row r="237" spans="2:13" ht="15.75">
      <c r="B237" s="135"/>
      <c r="C237" s="136"/>
      <c r="D237" s="236" t="s">
        <v>157</v>
      </c>
      <c r="E237" s="134"/>
      <c r="F237" s="134"/>
      <c r="G237" s="134"/>
      <c r="H237" s="134"/>
      <c r="I237" s="148"/>
      <c r="J237" s="134"/>
      <c r="K237" s="134"/>
      <c r="L237" s="134"/>
      <c r="M237" s="134"/>
    </row>
    <row r="238" spans="2:13" ht="15.75" thickBot="1">
      <c r="B238" s="135">
        <f>B235+1</f>
        <v>127</v>
      </c>
      <c r="C238" s="136"/>
      <c r="D238" s="130" t="s">
        <v>488</v>
      </c>
      <c r="E238" s="134"/>
      <c r="F238" s="134"/>
      <c r="G238" s="134"/>
      <c r="H238" s="134"/>
      <c r="I238" s="134"/>
      <c r="J238" s="134"/>
      <c r="K238" s="134"/>
      <c r="L238" s="237" t="s">
        <v>442</v>
      </c>
      <c r="M238" s="134"/>
    </row>
    <row r="239" spans="2:13" ht="15.75">
      <c r="B239" s="135">
        <f>B238+1</f>
        <v>128</v>
      </c>
      <c r="C239" s="136"/>
      <c r="D239" s="134" t="s">
        <v>508</v>
      </c>
      <c r="E239" s="125" t="str">
        <f>"(Worksheet M, ln."&amp;'WS M - Cost of Capital'!A55&amp;", col."&amp;'WS M - Cost of Capital'!E47&amp;")"</f>
        <v>(Worksheet M, ln.36, col.(d))</v>
      </c>
      <c r="F239" s="134"/>
      <c r="G239" s="134"/>
      <c r="H239" s="134"/>
      <c r="I239" s="134"/>
      <c r="J239" s="174" t="s">
        <v>414</v>
      </c>
      <c r="K239" s="134"/>
      <c r="L239" s="238">
        <f>'WS M - Cost of Capital'!E55</f>
        <v>2295149.9024663712</v>
      </c>
      <c r="M239" s="134"/>
    </row>
    <row r="240" spans="2:13">
      <c r="B240" s="135">
        <f t="shared" ref="B240:B246" si="9">B239+1</f>
        <v>129</v>
      </c>
      <c r="C240" s="136"/>
      <c r="D240" s="134" t="s">
        <v>509</v>
      </c>
      <c r="E240" s="125" t="str">
        <f>"(Worksheet M, ln. "&amp;'WS M - Cost of Capital'!A75&amp;", col."&amp;'WS M - Cost of Capital'!E47&amp;")"</f>
        <v>(Worksheet M, ln. 45, col.(d))</v>
      </c>
      <c r="F240" s="134"/>
      <c r="G240" s="134"/>
      <c r="H240" s="134"/>
      <c r="I240" s="134"/>
      <c r="J240" s="134"/>
      <c r="K240" s="134"/>
      <c r="L240" s="147">
        <f>'WS M - Cost of Capital'!E75</f>
        <v>0</v>
      </c>
      <c r="M240" s="134"/>
    </row>
    <row r="241" spans="2:13">
      <c r="B241" s="135">
        <f t="shared" si="9"/>
        <v>130</v>
      </c>
      <c r="C241" s="136"/>
      <c r="D241" s="239" t="s">
        <v>27</v>
      </c>
      <c r="E241" s="134"/>
      <c r="F241" s="134"/>
      <c r="G241" s="134"/>
      <c r="H241" s="3"/>
      <c r="I241" s="134"/>
      <c r="J241" s="134"/>
      <c r="K241" s="134"/>
      <c r="L241" s="147"/>
      <c r="M241" s="134"/>
    </row>
    <row r="242" spans="2:13">
      <c r="B242" s="135">
        <f t="shared" si="9"/>
        <v>131</v>
      </c>
      <c r="C242" s="136"/>
      <c r="D242" s="134" t="s">
        <v>28</v>
      </c>
      <c r="E242" s="125" t="str">
        <f>"(Worksheet M, ln. "&amp;'WS M - Cost of Capital'!A23&amp;", col."&amp;'WS M - Cost of Capital'!C8&amp;")"</f>
        <v>(Worksheet M, ln. 14, col.(b))</v>
      </c>
      <c r="F242" s="134"/>
      <c r="G242" s="130"/>
      <c r="H242" s="3"/>
      <c r="I242" s="134"/>
      <c r="J242" s="134"/>
      <c r="K242" s="134"/>
      <c r="L242" s="147">
        <f>'WS M - Cost of Capital'!C23</f>
        <v>72760292.620330006</v>
      </c>
      <c r="M242" s="134"/>
    </row>
    <row r="243" spans="2:13">
      <c r="B243" s="135">
        <f t="shared" si="9"/>
        <v>132</v>
      </c>
      <c r="C243" s="136"/>
      <c r="D243" s="134" t="s">
        <v>171</v>
      </c>
      <c r="E243" s="125" t="str">
        <f>"(Worksheet M, ln. "&amp;'WS M - Cost of Capital'!A23&amp;", col."&amp;'WS M - Cost of Capital'!D8&amp;")"</f>
        <v>(Worksheet M, ln. 14, col.(c))</v>
      </c>
      <c r="F243" s="134"/>
      <c r="G243" s="134"/>
      <c r="H243" s="3"/>
      <c r="I243" s="134"/>
      <c r="J243" s="134"/>
      <c r="K243" s="134"/>
      <c r="L243" s="147">
        <f>'WS M - Cost of Capital'!D23</f>
        <v>0</v>
      </c>
      <c r="M243" s="134"/>
    </row>
    <row r="244" spans="2:13">
      <c r="B244" s="135">
        <f t="shared" si="9"/>
        <v>133</v>
      </c>
      <c r="C244" s="136"/>
      <c r="D244" s="134" t="s">
        <v>164</v>
      </c>
      <c r="E244" s="125" t="str">
        <f>"(Worksheet M, ln. "&amp;'WS M - Cost of Capital'!A23&amp;", col."&amp;'WS M - Cost of Capital'!E8&amp;")"</f>
        <v>(Worksheet M, ln. 14, col.(d))</v>
      </c>
      <c r="F244" s="134"/>
      <c r="G244" s="134"/>
      <c r="H244" s="3"/>
      <c r="I244" s="134"/>
      <c r="J244" s="134"/>
      <c r="K244" s="134"/>
      <c r="L244" s="147">
        <f>'WS M - Cost of Capital'!E23</f>
        <v>0</v>
      </c>
      <c r="M244" s="134"/>
    </row>
    <row r="245" spans="2:13">
      <c r="B245" s="135">
        <f t="shared" si="9"/>
        <v>134</v>
      </c>
      <c r="C245" s="136"/>
      <c r="D245" s="134" t="s">
        <v>170</v>
      </c>
      <c r="E245" s="125" t="str">
        <f>"(Worksheet M, ln. "&amp;'WS M - Cost of Capital'!A23&amp;", col."&amp;'WS M - Cost of Capital'!F8&amp;")"</f>
        <v>(Worksheet M, ln. 14, col.(e))</v>
      </c>
      <c r="F245" s="134"/>
      <c r="G245" s="134"/>
      <c r="H245" s="3"/>
      <c r="I245" s="134"/>
      <c r="J245" s="134"/>
      <c r="K245" s="134"/>
      <c r="L245" s="868">
        <f>'WS M - Cost of Capital'!F23</f>
        <v>0</v>
      </c>
      <c r="M245" s="134"/>
    </row>
    <row r="246" spans="2:13">
      <c r="B246" s="135">
        <f t="shared" si="9"/>
        <v>135</v>
      </c>
      <c r="C246" s="136"/>
      <c r="D246" s="125" t="s">
        <v>29</v>
      </c>
      <c r="E246" s="240" t="str">
        <f>"(ln "&amp;B242&amp;" - ln "&amp;B243&amp;" - ln "&amp;B244&amp;" - ln "&amp;B245&amp;")"</f>
        <v>(ln 131 - ln 132 - ln 133 - ln 134)</v>
      </c>
      <c r="F246" s="143"/>
      <c r="H246" s="130"/>
      <c r="I246" s="130"/>
      <c r="J246" s="130"/>
      <c r="K246" s="130"/>
      <c r="L246" s="147">
        <f>L242-L243-L244-L245</f>
        <v>72760292.620330006</v>
      </c>
      <c r="M246" s="134"/>
    </row>
    <row r="247" spans="2:13" ht="15.75">
      <c r="B247" s="135"/>
      <c r="C247" s="136"/>
      <c r="D247" s="130"/>
      <c r="E247" s="134"/>
      <c r="F247" s="134"/>
      <c r="G247" s="1131" t="s">
        <v>272</v>
      </c>
      <c r="H247" s="1131"/>
      <c r="I247" s="134"/>
      <c r="J247" s="196" t="s">
        <v>443</v>
      </c>
      <c r="K247" s="134"/>
      <c r="L247" s="134"/>
      <c r="M247" s="134"/>
    </row>
    <row r="248" spans="2:13" ht="15.75" thickBot="1">
      <c r="B248" s="135"/>
      <c r="C248" s="136"/>
      <c r="D248" s="130"/>
      <c r="F248" s="134"/>
      <c r="G248" s="142" t="s">
        <v>442</v>
      </c>
      <c r="H248" s="142" t="s">
        <v>444</v>
      </c>
      <c r="I248" s="237" t="s">
        <v>821</v>
      </c>
      <c r="J248" s="241" t="s">
        <v>552</v>
      </c>
      <c r="K248" s="134"/>
      <c r="L248" s="142" t="s">
        <v>445</v>
      </c>
      <c r="M248" s="134"/>
    </row>
    <row r="249" spans="2:13" ht="15.75">
      <c r="B249" s="135">
        <f>B246+1</f>
        <v>136</v>
      </c>
      <c r="C249" s="136"/>
      <c r="D249" s="130" t="str">
        <f>"  Long Term Debt  (Note S) Worksheet M, ln "&amp;'WS M - Cost of Capital'!A42&amp;", col. (g), ln "&amp;'WS M - Cost of Capital'!A57&amp;", col. "&amp;'WS M - Cost of Capital'!E47&amp;")"</f>
        <v xml:space="preserve">  Long Term Debt  (Note S) Worksheet M, ln 28, col. (g), ln 37, col. (d))</v>
      </c>
      <c r="F249" s="174" t="s">
        <v>414</v>
      </c>
      <c r="G249" s="147">
        <f>'WS M - Cost of Capital'!H42</f>
        <v>58948548.315823518</v>
      </c>
      <c r="H249" s="156">
        <f>IF($G$252=0,0,G249/$G$252)</f>
        <v>0.44756713290339484</v>
      </c>
      <c r="I249" s="966">
        <f>IF(H251&gt;E254,1-I251,H249)</f>
        <v>0.44999999999999996</v>
      </c>
      <c r="J249" s="156">
        <f>IF(G249=0,0,L239/G249)</f>
        <v>3.8934799380806559E-2</v>
      </c>
      <c r="L249" s="242">
        <f>I249*J249</f>
        <v>1.7520659721362949E-2</v>
      </c>
      <c r="M249" s="134"/>
    </row>
    <row r="250" spans="2:13">
      <c r="B250" s="135">
        <f>B249+1</f>
        <v>137</v>
      </c>
      <c r="C250" s="136"/>
      <c r="D250" s="130" t="str">
        <f>"  Preferred Stock (ln "&amp;B243&amp;")"</f>
        <v xml:space="preserve">  Preferred Stock (ln 132)</v>
      </c>
      <c r="G250" s="147">
        <f>L243</f>
        <v>0</v>
      </c>
      <c r="H250" s="156">
        <f>IF($G$252=0,0,G250/$G$252)</f>
        <v>0</v>
      </c>
      <c r="I250" s="966">
        <f>H250</f>
        <v>0</v>
      </c>
      <c r="J250" s="156">
        <f>IF(G250=0,0,L240/G250)</f>
        <v>0</v>
      </c>
      <c r="L250" s="243">
        <f>H250*J250</f>
        <v>0</v>
      </c>
      <c r="M250" s="134"/>
    </row>
    <row r="251" spans="2:13" ht="15.75" thickBot="1">
      <c r="B251" s="135">
        <f>B250+1</f>
        <v>138</v>
      </c>
      <c r="C251" s="136"/>
      <c r="D251" s="130" t="str">
        <f>"  Common Stock (ln "&amp;B246&amp;")"</f>
        <v xml:space="preserve">  Common Stock (ln 135)</v>
      </c>
      <c r="G251" s="182">
        <f>L246</f>
        <v>72760292.620330006</v>
      </c>
      <c r="H251" s="244">
        <f>IF($G$252=0,0,G251/$G$252)</f>
        <v>0.55243286709660511</v>
      </c>
      <c r="I251" s="966">
        <f>IF(H251&gt;E254,E254,H251)</f>
        <v>0.55000000000000004</v>
      </c>
      <c r="J251" s="293">
        <v>0.10349999999999999</v>
      </c>
      <c r="L251" s="1072">
        <f>IF(H251&gt;0.55,I251*J251,H251*J251)</f>
        <v>5.6925000000000003E-2</v>
      </c>
      <c r="M251" s="134"/>
    </row>
    <row r="252" spans="2:13" ht="15.75">
      <c r="B252" s="135">
        <f>B251+1</f>
        <v>139</v>
      </c>
      <c r="C252" s="136"/>
      <c r="D252" s="130" t="str">
        <f>" Total (Sum lns "&amp;B249&amp;" to "&amp;B251&amp;")"</f>
        <v xml:space="preserve"> Total (Sum lns 136 to 138)</v>
      </c>
      <c r="G252" s="147">
        <f>SUM(G249:G251)</f>
        <v>131708840.93615353</v>
      </c>
      <c r="H252" s="157">
        <f>SUM(H249:H251)</f>
        <v>1</v>
      </c>
      <c r="I252" s="134"/>
      <c r="J252" s="245"/>
      <c r="K252" s="188" t="s">
        <v>362</v>
      </c>
      <c r="L252" s="246">
        <f>SUM(L249:L251)</f>
        <v>7.4445659721362953E-2</v>
      </c>
      <c r="M252" s="134"/>
    </row>
    <row r="253" spans="2:13" ht="15.75">
      <c r="B253" s="135"/>
      <c r="C253" s="136"/>
      <c r="D253" s="130"/>
      <c r="G253" s="147"/>
      <c r="H253" s="157"/>
      <c r="I253" s="134"/>
      <c r="J253" s="245"/>
      <c r="K253" s="188"/>
      <c r="L253" s="246"/>
      <c r="M253" s="134"/>
    </row>
    <row r="254" spans="2:13">
      <c r="B254" s="135">
        <v>140</v>
      </c>
      <c r="C254" s="136"/>
      <c r="D254" s="130" t="s">
        <v>820</v>
      </c>
      <c r="E254" s="966">
        <v>0.55000000000000004</v>
      </c>
      <c r="F254" s="134"/>
      <c r="G254" s="134"/>
      <c r="H254" s="134"/>
      <c r="I254" s="148"/>
      <c r="J254" s="184"/>
      <c r="K254" s="134"/>
      <c r="L254" s="134"/>
      <c r="M254" s="134"/>
    </row>
    <row r="255" spans="2:13" ht="15.75" hidden="1">
      <c r="B255" s="247"/>
      <c r="C255" s="248"/>
      <c r="D255" s="249" t="s">
        <v>223</v>
      </c>
      <c r="E255" s="250"/>
      <c r="F255" s="251"/>
      <c r="G255" s="252"/>
      <c r="H255" s="251"/>
      <c r="I255" s="251"/>
      <c r="J255" s="251"/>
      <c r="K255" s="253"/>
      <c r="L255" s="254"/>
      <c r="M255" s="134"/>
    </row>
    <row r="256" spans="2:13" ht="15.75" hidden="1" thickBot="1">
      <c r="B256" s="247">
        <f>B252+1</f>
        <v>140</v>
      </c>
      <c r="C256" s="248"/>
      <c r="D256" s="255" t="s">
        <v>488</v>
      </c>
      <c r="E256" s="251"/>
      <c r="F256" s="251"/>
      <c r="G256" s="251"/>
      <c r="H256" s="251"/>
      <c r="I256" s="251"/>
      <c r="J256" s="251"/>
      <c r="K256" s="251"/>
      <c r="L256" s="256" t="s">
        <v>442</v>
      </c>
      <c r="M256" s="134"/>
    </row>
    <row r="257" spans="2:21" hidden="1">
      <c r="B257" s="247">
        <f t="shared" ref="B257:B264" si="10">+B256+1</f>
        <v>141</v>
      </c>
      <c r="C257" s="248"/>
      <c r="D257" s="251" t="s">
        <v>508</v>
      </c>
      <c r="E257" s="252" t="str">
        <f>"(Worksheet Q, ln. "&amp;'WS Q Cap Structure'!A199&amp;")"</f>
        <v>(Worksheet Q, ln. 132)</v>
      </c>
      <c r="F257" s="251"/>
      <c r="G257" s="251"/>
      <c r="H257" s="251"/>
      <c r="I257" s="251"/>
      <c r="J257" s="251"/>
      <c r="K257" s="251"/>
      <c r="L257" s="257">
        <f>'WS Q Cap Structure'!J199</f>
        <v>0</v>
      </c>
      <c r="M257" s="134"/>
    </row>
    <row r="258" spans="2:21" hidden="1">
      <c r="B258" s="247">
        <f t="shared" si="10"/>
        <v>142</v>
      </c>
      <c r="C258" s="248"/>
      <c r="D258" s="251" t="s">
        <v>509</v>
      </c>
      <c r="E258" s="252" t="str">
        <f>"(Worksheet Q, ln. "&amp;'WS Q Cap Structure'!A203&amp;")"</f>
        <v>(Worksheet Q, ln. 134)</v>
      </c>
      <c r="F258" s="251"/>
      <c r="G258" s="251"/>
      <c r="H258" s="251"/>
      <c r="I258" s="251"/>
      <c r="J258" s="251"/>
      <c r="K258" s="251"/>
      <c r="L258" s="257">
        <f>'WS Q Cap Structure'!J203</f>
        <v>0</v>
      </c>
      <c r="M258" s="134"/>
    </row>
    <row r="259" spans="2:21" hidden="1">
      <c r="B259" s="247">
        <f t="shared" si="10"/>
        <v>143</v>
      </c>
      <c r="C259" s="248"/>
      <c r="D259" s="258" t="s">
        <v>27</v>
      </c>
      <c r="E259" s="251"/>
      <c r="F259" s="251"/>
      <c r="G259" s="251"/>
      <c r="H259" s="259"/>
      <c r="I259" s="251"/>
      <c r="J259" s="251"/>
      <c r="K259" s="251"/>
      <c r="L259" s="257"/>
      <c r="M259" s="134"/>
    </row>
    <row r="260" spans="2:21" hidden="1">
      <c r="B260" s="247">
        <f t="shared" si="10"/>
        <v>144</v>
      </c>
      <c r="C260" s="248"/>
      <c r="D260" s="251" t="s">
        <v>28</v>
      </c>
      <c r="E260" s="252" t="str">
        <f>"(Worksheet Q, ln. "&amp;'WS Q Cap Structure'!A206&amp;")"</f>
        <v>(Worksheet Q, ln. 135)</v>
      </c>
      <c r="F260" s="251"/>
      <c r="G260" s="255"/>
      <c r="H260" s="260"/>
      <c r="I260" s="251"/>
      <c r="J260" s="251"/>
      <c r="K260" s="251"/>
      <c r="L260" s="261" t="e">
        <f>'WS Q Cap Structure'!J206</f>
        <v>#DIV/0!</v>
      </c>
      <c r="M260" s="134"/>
    </row>
    <row r="261" spans="2:21" hidden="1">
      <c r="B261" s="247">
        <f t="shared" si="10"/>
        <v>145</v>
      </c>
      <c r="C261" s="248"/>
      <c r="D261" s="251" t="s">
        <v>171</v>
      </c>
      <c r="E261" s="252" t="str">
        <f>"(Worksheet Q, ln. "&amp;'WS Q Cap Structure'!A207&amp;")"</f>
        <v>(Worksheet Q, ln. 136)</v>
      </c>
      <c r="F261" s="251"/>
      <c r="G261" s="251"/>
      <c r="H261" s="260"/>
      <c r="I261" s="251"/>
      <c r="J261" s="251"/>
      <c r="K261" s="251"/>
      <c r="L261" s="261">
        <f>'WS Q Cap Structure'!J207</f>
        <v>0</v>
      </c>
      <c r="M261" s="134"/>
    </row>
    <row r="262" spans="2:21" hidden="1">
      <c r="B262" s="247">
        <f>+B261+1</f>
        <v>146</v>
      </c>
      <c r="C262" s="248"/>
      <c r="D262" s="251" t="s">
        <v>164</v>
      </c>
      <c r="E262" s="252" t="str">
        <f>"(Worksheet Q, ln. "&amp;'WS Q Cap Structure'!A208&amp;")"</f>
        <v>(Worksheet Q, ln. 137)</v>
      </c>
      <c r="F262" s="251"/>
      <c r="G262" s="251"/>
      <c r="H262" s="260"/>
      <c r="I262" s="251"/>
      <c r="J262" s="251"/>
      <c r="K262" s="251"/>
      <c r="L262" s="261" t="e">
        <f>'WS Q Cap Structure'!J208</f>
        <v>#DIV/0!</v>
      </c>
      <c r="M262" s="134"/>
    </row>
    <row r="263" spans="2:21" ht="15.75" hidden="1" thickBot="1">
      <c r="B263" s="247">
        <f t="shared" si="10"/>
        <v>147</v>
      </c>
      <c r="C263" s="248"/>
      <c r="D263" s="251" t="s">
        <v>170</v>
      </c>
      <c r="E263" s="252" t="str">
        <f>"(Worksheet Q, ln. "&amp;'WS Q Cap Structure'!A209&amp;")"</f>
        <v>(Worksheet Q, ln. 138)</v>
      </c>
      <c r="F263" s="251"/>
      <c r="G263" s="251"/>
      <c r="H263" s="260"/>
      <c r="I263" s="251"/>
      <c r="J263" s="262"/>
      <c r="K263" s="251"/>
      <c r="L263" s="263" t="e">
        <f>'WS Q Cap Structure'!J209</f>
        <v>#DIV/0!</v>
      </c>
      <c r="M263" s="134"/>
    </row>
    <row r="264" spans="2:21" hidden="1">
      <c r="B264" s="247">
        <f t="shared" si="10"/>
        <v>148</v>
      </c>
      <c r="C264" s="248"/>
      <c r="D264" s="252" t="s">
        <v>29</v>
      </c>
      <c r="E264" s="251" t="str">
        <f>"(ln "&amp;B260&amp;" - ln "&amp;B261&amp;" - ln "&amp;B262&amp;" - ln "&amp;B263&amp;")"</f>
        <v>(ln 144 - ln 145 - ln 146 - ln 147)</v>
      </c>
      <c r="F264" s="250"/>
      <c r="G264" s="252"/>
      <c r="H264" s="255"/>
      <c r="I264" s="255"/>
      <c r="J264" s="255"/>
      <c r="K264" s="255"/>
      <c r="L264" s="257" t="e">
        <f>+L260-L261-L262-L263</f>
        <v>#DIV/0!</v>
      </c>
      <c r="M264" s="134"/>
    </row>
    <row r="265" spans="2:21" ht="15.75" hidden="1">
      <c r="B265" s="247"/>
      <c r="C265" s="248"/>
      <c r="D265" s="255"/>
      <c r="E265" s="251"/>
      <c r="F265" s="251"/>
      <c r="G265" s="1130"/>
      <c r="H265" s="1130"/>
      <c r="I265" s="264"/>
      <c r="J265" s="252"/>
      <c r="K265" s="251"/>
      <c r="L265" s="251"/>
      <c r="M265" s="134"/>
    </row>
    <row r="266" spans="2:21" ht="15.75" hidden="1" thickBot="1">
      <c r="B266" s="247">
        <f>+B264+1</f>
        <v>149</v>
      </c>
      <c r="C266" s="248"/>
      <c r="D266" s="255"/>
      <c r="E266" s="252"/>
      <c r="F266" s="252"/>
      <c r="G266" s="265" t="s">
        <v>444</v>
      </c>
      <c r="H266" s="265" t="s">
        <v>442</v>
      </c>
      <c r="I266" s="264"/>
      <c r="J266" s="266" t="s">
        <v>443</v>
      </c>
      <c r="K266" s="251"/>
      <c r="L266" s="265" t="s">
        <v>445</v>
      </c>
      <c r="M266" s="134"/>
      <c r="N266" s="130"/>
      <c r="O266" s="130"/>
      <c r="P266" s="130"/>
      <c r="Q266" s="130"/>
      <c r="R266" s="130"/>
      <c r="S266" s="130"/>
      <c r="T266" s="130"/>
      <c r="U266" s="130"/>
    </row>
    <row r="267" spans="2:21" hidden="1">
      <c r="B267" s="247">
        <f>+B266+1</f>
        <v>150</v>
      </c>
      <c r="C267" s="248"/>
      <c r="D267" s="255" t="str">
        <f>"  Long Term Debt   (Worksheet Q, ln "&amp;'WS Q Cap Structure'!A213&amp;")"</f>
        <v xml:space="preserve">  Long Term Debt   (Worksheet Q, ln 140)</v>
      </c>
      <c r="E267" s="252"/>
      <c r="F267" s="252"/>
      <c r="G267" s="267" t="e">
        <f>'WS Q Cap Structure'!J218</f>
        <v>#DIV/0!</v>
      </c>
      <c r="H267" s="257" t="e">
        <f>$H$270*G267</f>
        <v>#DIV/0!</v>
      </c>
      <c r="I267" s="268"/>
      <c r="J267" s="262" t="e">
        <f>+L257/H267</f>
        <v>#DIV/0!</v>
      </c>
      <c r="K267" s="252"/>
      <c r="L267" s="269" t="e">
        <f>+G267*J267</f>
        <v>#DIV/0!</v>
      </c>
      <c r="M267" s="270"/>
      <c r="N267" s="130"/>
      <c r="O267" s="130"/>
      <c r="P267" s="130"/>
      <c r="Q267" s="130"/>
      <c r="R267" s="130"/>
      <c r="S267" s="130"/>
      <c r="T267" s="130"/>
      <c r="U267" s="130"/>
    </row>
    <row r="268" spans="2:21" hidden="1">
      <c r="B268" s="247">
        <f>+B267+1</f>
        <v>151</v>
      </c>
      <c r="C268" s="248"/>
      <c r="D268" s="255" t="str">
        <f>"  Preferred Stock (Worksheet Q, ln "&amp;'WS Q Cap Structure'!A214&amp;")"</f>
        <v xml:space="preserve">  Preferred Stock (Worksheet Q, ln 141)</v>
      </c>
      <c r="E268" s="252"/>
      <c r="F268" s="252"/>
      <c r="G268" s="267" t="e">
        <f>'WS Q Cap Structure'!J219</f>
        <v>#DIV/0!</v>
      </c>
      <c r="H268" s="257" t="e">
        <f>$H$270*G268</f>
        <v>#DIV/0!</v>
      </c>
      <c r="I268" s="268"/>
      <c r="J268" s="262">
        <f>IF(L258=0,0,+L258/H268)</f>
        <v>0</v>
      </c>
      <c r="K268" s="252"/>
      <c r="L268" s="271" t="e">
        <f>+G268*J268</f>
        <v>#DIV/0!</v>
      </c>
      <c r="M268" s="134"/>
    </row>
    <row r="269" spans="2:21" ht="15.75" hidden="1" thickBot="1">
      <c r="B269" s="247">
        <f>+B268+1</f>
        <v>152</v>
      </c>
      <c r="C269" s="248"/>
      <c r="D269" s="255" t="str">
        <f>"  Common Stock (Worksheet Q, ln "&amp;'WS Q Cap Structure'!A215&amp;")"</f>
        <v xml:space="preserve">  Common Stock (Worksheet Q, ln 142)</v>
      </c>
      <c r="E269" s="252"/>
      <c r="F269" s="252"/>
      <c r="G269" s="267" t="e">
        <f>'WS Q Cap Structure'!J220</f>
        <v>#DIV/0!</v>
      </c>
      <c r="H269" s="272" t="e">
        <f>$H$270*G269</f>
        <v>#DIV/0!</v>
      </c>
      <c r="I269" s="268"/>
      <c r="J269" s="122">
        <v>0.1149</v>
      </c>
      <c r="K269" s="252"/>
      <c r="L269" s="273" t="e">
        <f>+G269*J269</f>
        <v>#DIV/0!</v>
      </c>
      <c r="M269" s="134"/>
    </row>
    <row r="270" spans="2:21" ht="15.75" hidden="1">
      <c r="B270" s="247">
        <f>+B269+1</f>
        <v>153</v>
      </c>
      <c r="C270" s="248"/>
      <c r="D270" s="255" t="str">
        <f>" Total (Worksheet Q, ln "&amp;'WS Q Cap Structure'!A216&amp;")"</f>
        <v xml:space="preserve"> Total (Worksheet Q, ln 143)</v>
      </c>
      <c r="E270" s="252"/>
      <c r="F270" s="252"/>
      <c r="G270" s="252"/>
      <c r="H270" s="257" t="e">
        <f>'WS Q Cap Structure'!J216</f>
        <v>#DIV/0!</v>
      </c>
      <c r="I270" s="264"/>
      <c r="J270" s="274"/>
      <c r="K270" s="275" t="s">
        <v>362</v>
      </c>
      <c r="L270" s="276" t="e">
        <f>SUM(L267:L269)</f>
        <v>#DIV/0!</v>
      </c>
      <c r="M270" s="277"/>
    </row>
    <row r="271" spans="2:21">
      <c r="B271" s="135"/>
      <c r="C271" s="41"/>
      <c r="D271" s="3"/>
      <c r="E271" s="41"/>
      <c r="F271"/>
      <c r="G271"/>
      <c r="H271"/>
      <c r="I271"/>
      <c r="J271" s="131"/>
      <c r="K271" s="131"/>
      <c r="L271" s="131"/>
      <c r="M271" s="131"/>
      <c r="N271" s="130"/>
      <c r="O271" s="130"/>
      <c r="P271" s="130"/>
      <c r="Q271" s="130"/>
      <c r="R271" s="130"/>
      <c r="S271" s="130"/>
      <c r="T271" s="130"/>
      <c r="U271" s="130"/>
    </row>
    <row r="272" spans="2:21">
      <c r="B272" s="135"/>
      <c r="C272" s="41"/>
      <c r="D272" s="41"/>
      <c r="E272"/>
      <c r="F272"/>
      <c r="G272"/>
      <c r="H272"/>
      <c r="I272"/>
      <c r="J272" s="134"/>
      <c r="K272" s="130"/>
      <c r="L272" s="134"/>
      <c r="M272" s="130"/>
      <c r="N272" s="130"/>
      <c r="O272" s="130"/>
      <c r="P272" s="130"/>
      <c r="Q272" s="130"/>
      <c r="R272" s="130"/>
      <c r="S272" s="130"/>
      <c r="T272" s="130"/>
      <c r="U272" s="130"/>
    </row>
    <row r="273" spans="2:21" ht="15.75">
      <c r="B273" s="194"/>
      <c r="C273" s="136"/>
      <c r="D273" s="126"/>
      <c r="E273" s="126"/>
      <c r="F273" s="196" t="str">
        <f>F202</f>
        <v>AEPTCo subsidiaries in PJM</v>
      </c>
      <c r="G273" s="127"/>
      <c r="H273" s="134"/>
      <c r="I273" s="134"/>
      <c r="J273" s="134"/>
      <c r="K273" s="130"/>
      <c r="L273" s="134"/>
      <c r="M273" s="165"/>
      <c r="N273" s="130"/>
      <c r="O273" s="130"/>
      <c r="P273" s="130"/>
      <c r="Q273" s="130"/>
      <c r="R273" s="130"/>
      <c r="S273" s="130"/>
      <c r="T273" s="130"/>
      <c r="U273" s="130"/>
    </row>
    <row r="274" spans="2:21">
      <c r="B274" s="194"/>
      <c r="C274" s="136"/>
      <c r="E274" s="136"/>
      <c r="F274" s="196" t="str">
        <f>F203</f>
        <v>Transmission Cost of Service Formula Rate</v>
      </c>
      <c r="G274" s="134"/>
      <c r="H274" s="134"/>
      <c r="I274" s="134"/>
      <c r="J274" s="134"/>
      <c r="K274" s="130"/>
      <c r="L274" s="144"/>
      <c r="M274" s="165"/>
      <c r="N274" s="130"/>
      <c r="O274" s="130"/>
      <c r="P274" s="130"/>
      <c r="Q274" s="130"/>
      <c r="R274" s="130"/>
      <c r="S274" s="130"/>
      <c r="T274" s="130"/>
      <c r="U274" s="130"/>
    </row>
    <row r="275" spans="2:21" ht="15.75">
      <c r="B275" s="194"/>
      <c r="C275" s="136"/>
      <c r="E275" s="197"/>
      <c r="F275" s="196" t="str">
        <f>F204</f>
        <v>Utilizing  Actual/Projected FERC Form 1 Data</v>
      </c>
      <c r="G275" s="134"/>
      <c r="H275" s="134"/>
      <c r="I275" s="134"/>
      <c r="J275" s="134"/>
      <c r="K275" s="130"/>
      <c r="L275" s="144"/>
      <c r="M275" s="165"/>
      <c r="N275" s="130"/>
      <c r="O275" s="130"/>
      <c r="P275" s="130"/>
      <c r="Q275" s="130"/>
      <c r="R275" s="130"/>
      <c r="S275" s="130"/>
      <c r="T275" s="130"/>
      <c r="U275" s="130"/>
    </row>
    <row r="276" spans="2:21" ht="15.75">
      <c r="B276" s="135"/>
      <c r="C276" s="136"/>
      <c r="E276" s="197"/>
      <c r="F276" s="196"/>
      <c r="G276" s="134"/>
      <c r="H276" s="134"/>
      <c r="I276" s="134"/>
      <c r="J276" s="134"/>
      <c r="K276" s="130"/>
      <c r="L276" s="144"/>
      <c r="N276" s="130"/>
      <c r="O276" s="130"/>
      <c r="P276" s="130"/>
      <c r="Q276" s="130"/>
      <c r="R276" s="130"/>
      <c r="S276" s="130"/>
      <c r="T276" s="130"/>
      <c r="U276" s="130"/>
    </row>
    <row r="277" spans="2:21" ht="15.75">
      <c r="B277" s="135"/>
      <c r="C277" s="136"/>
      <c r="E277" s="197"/>
      <c r="F277" s="196" t="str">
        <f>F206</f>
        <v>AEP Kentucky Transmission Company</v>
      </c>
      <c r="G277" s="134"/>
      <c r="H277" s="134"/>
      <c r="I277" s="134"/>
      <c r="J277" s="134"/>
      <c r="K277" s="130"/>
      <c r="L277" s="144"/>
      <c r="N277" s="130"/>
      <c r="O277" s="130"/>
      <c r="P277" s="130"/>
      <c r="Q277" s="130"/>
      <c r="R277" s="130"/>
      <c r="S277" s="130"/>
      <c r="T277" s="130"/>
      <c r="U277" s="130"/>
    </row>
    <row r="278" spans="2:21" ht="15.75">
      <c r="B278" s="135"/>
      <c r="C278" s="136"/>
      <c r="E278" s="197"/>
      <c r="F278" s="196"/>
      <c r="G278" s="134"/>
      <c r="H278" s="134"/>
      <c r="I278" s="134"/>
      <c r="J278" s="134"/>
      <c r="K278" s="130"/>
      <c r="L278" s="144"/>
      <c r="N278" s="130"/>
      <c r="O278" s="130"/>
      <c r="P278" s="130"/>
      <c r="Q278" s="130"/>
      <c r="R278" s="130"/>
      <c r="S278" s="130"/>
      <c r="T278" s="130"/>
      <c r="U278" s="130"/>
    </row>
    <row r="279" spans="2:21" ht="15.75">
      <c r="B279" s="173" t="s">
        <v>474</v>
      </c>
      <c r="C279" s="136"/>
      <c r="D279" s="130"/>
      <c r="E279" s="130"/>
      <c r="F279" s="173" t="s">
        <v>473</v>
      </c>
      <c r="G279" s="134"/>
      <c r="H279" s="134"/>
      <c r="I279" s="134"/>
      <c r="J279" s="134" t="s">
        <v>625</v>
      </c>
      <c r="K279" s="130"/>
      <c r="L279" s="134"/>
      <c r="N279" s="130"/>
      <c r="O279" s="130"/>
      <c r="P279" s="130"/>
      <c r="Q279" s="130"/>
      <c r="R279" s="130"/>
      <c r="S279" s="130"/>
      <c r="T279" s="130"/>
      <c r="U279" s="130"/>
    </row>
    <row r="280" spans="2:21">
      <c r="C280" s="136"/>
      <c r="L280" s="144"/>
      <c r="N280" s="130"/>
      <c r="O280" s="130"/>
      <c r="P280" s="130"/>
      <c r="Q280" s="130"/>
      <c r="R280" s="130"/>
      <c r="S280" s="130"/>
      <c r="T280" s="130"/>
      <c r="U280" s="130"/>
    </row>
    <row r="281" spans="2:21">
      <c r="B281" s="135"/>
      <c r="C281" s="136"/>
      <c r="D281" s="130" t="s">
        <v>332</v>
      </c>
      <c r="E281" s="136"/>
      <c r="F281" s="136"/>
      <c r="G281" s="134"/>
      <c r="H281" s="134"/>
      <c r="I281" s="134"/>
      <c r="J281" s="134"/>
      <c r="K281" s="130"/>
      <c r="L281" s="134"/>
      <c r="M281" s="130"/>
      <c r="N281" s="130"/>
      <c r="O281" s="130"/>
      <c r="P281" s="130"/>
      <c r="Q281" s="130"/>
      <c r="R281" s="130"/>
      <c r="S281" s="130"/>
      <c r="T281" s="130"/>
      <c r="U281" s="130"/>
    </row>
    <row r="282" spans="2:21">
      <c r="B282" s="125"/>
      <c r="D282" s="130"/>
      <c r="E282" s="130"/>
      <c r="F282" s="130"/>
      <c r="G282" s="134"/>
      <c r="H282" s="134"/>
      <c r="I282" s="134"/>
      <c r="J282" s="134"/>
      <c r="K282" s="130"/>
      <c r="L282" s="134"/>
      <c r="M282" s="130"/>
      <c r="N282" s="130"/>
      <c r="O282" s="130"/>
      <c r="P282" s="130"/>
      <c r="Q282" s="130"/>
      <c r="R282" s="130"/>
      <c r="S282" s="130"/>
      <c r="T282" s="130"/>
      <c r="U282" s="130"/>
    </row>
    <row r="283" spans="2:21">
      <c r="B283" s="125"/>
      <c r="D283" s="130"/>
      <c r="E283" s="130"/>
      <c r="F283" s="130"/>
      <c r="G283" s="134"/>
      <c r="H283" s="134"/>
      <c r="I283" s="134"/>
      <c r="J283" s="134"/>
      <c r="K283" s="130"/>
      <c r="L283" s="134"/>
      <c r="M283" s="130"/>
      <c r="N283" s="130"/>
      <c r="O283" s="130"/>
      <c r="P283" s="130"/>
      <c r="Q283" s="130"/>
      <c r="R283" s="130"/>
      <c r="S283" s="130"/>
      <c r="T283" s="130"/>
      <c r="U283" s="130"/>
    </row>
    <row r="284" spans="2:21">
      <c r="B284" s="278" t="s">
        <v>446</v>
      </c>
      <c r="C284" s="136"/>
      <c r="D284" s="130" t="s">
        <v>274</v>
      </c>
      <c r="E284" s="130"/>
      <c r="F284" s="130"/>
      <c r="G284" s="134"/>
      <c r="H284" s="134"/>
      <c r="I284" s="134"/>
      <c r="J284" s="134"/>
      <c r="K284" s="130"/>
      <c r="L284" s="134"/>
      <c r="M284" s="130"/>
      <c r="N284" s="130"/>
      <c r="O284" s="130"/>
      <c r="P284" s="130"/>
      <c r="Q284" s="130"/>
      <c r="R284" s="130"/>
      <c r="S284" s="130"/>
      <c r="T284" s="130"/>
      <c r="U284" s="130"/>
    </row>
    <row r="285" spans="2:21">
      <c r="B285" s="278"/>
      <c r="C285" s="196"/>
      <c r="D285" s="130" t="s">
        <v>172</v>
      </c>
      <c r="E285" s="130"/>
      <c r="F285" s="130"/>
      <c r="G285" s="130"/>
      <c r="H285" s="130"/>
      <c r="I285" s="130"/>
      <c r="J285" s="130"/>
      <c r="K285" s="130"/>
      <c r="L285" s="130"/>
      <c r="M285" s="130"/>
      <c r="N285" s="130"/>
      <c r="O285" s="130"/>
      <c r="P285" s="130"/>
      <c r="Q285" s="130"/>
      <c r="R285" s="130"/>
      <c r="S285" s="130"/>
      <c r="T285" s="130"/>
      <c r="U285" s="130"/>
    </row>
    <row r="286" spans="2:21">
      <c r="D286" s="125" t="s">
        <v>173</v>
      </c>
      <c r="E286" s="156"/>
      <c r="F286" s="156"/>
      <c r="G286" s="130"/>
      <c r="H286" s="130"/>
      <c r="I286" s="130"/>
      <c r="J286" s="130"/>
      <c r="K286" s="130"/>
      <c r="L286" s="130"/>
      <c r="M286" s="130"/>
      <c r="N286" s="130"/>
      <c r="O286" s="130"/>
      <c r="P286" s="130"/>
      <c r="Q286" s="130"/>
      <c r="R286" s="130"/>
      <c r="S286" s="130"/>
      <c r="T286" s="130"/>
      <c r="U286" s="130"/>
    </row>
    <row r="287" spans="2:21">
      <c r="D287" s="130" t="s">
        <v>275</v>
      </c>
      <c r="E287" s="130"/>
      <c r="F287" s="130"/>
      <c r="G287" s="130"/>
      <c r="H287" s="130"/>
      <c r="I287" s="130"/>
      <c r="J287" s="130"/>
      <c r="K287" s="130"/>
      <c r="L287" s="130"/>
      <c r="M287" s="130"/>
      <c r="N287" s="130"/>
      <c r="O287" s="130"/>
      <c r="P287" s="130"/>
      <c r="Q287" s="130"/>
      <c r="R287" s="130"/>
      <c r="S287" s="130"/>
      <c r="T287" s="130"/>
      <c r="U287" s="130"/>
    </row>
    <row r="288" spans="2:21">
      <c r="B288" s="135"/>
      <c r="C288" s="136"/>
      <c r="D288" s="130" t="s">
        <v>276</v>
      </c>
      <c r="E288" s="130"/>
      <c r="F288" s="130"/>
      <c r="G288" s="130"/>
      <c r="H288" s="130"/>
      <c r="I288" s="130"/>
      <c r="J288" s="130"/>
      <c r="K288" s="130"/>
      <c r="L288" s="130"/>
      <c r="M288" s="130"/>
      <c r="N288" s="130"/>
      <c r="O288" s="130"/>
      <c r="P288" s="130"/>
      <c r="Q288" s="130"/>
      <c r="R288" s="130"/>
      <c r="S288" s="130"/>
      <c r="T288" s="130"/>
      <c r="U288" s="130"/>
    </row>
    <row r="289" spans="2:21">
      <c r="B289" s="135"/>
      <c r="C289" s="136"/>
      <c r="D289" s="130" t="s">
        <v>174</v>
      </c>
      <c r="E289" s="130"/>
      <c r="F289" s="130"/>
      <c r="G289" s="130"/>
      <c r="H289" s="130"/>
      <c r="I289" s="130"/>
      <c r="J289" s="130"/>
      <c r="K289" s="130"/>
      <c r="L289" s="130"/>
      <c r="M289" s="130"/>
      <c r="N289" s="130"/>
      <c r="O289" s="130"/>
      <c r="P289" s="130"/>
      <c r="Q289" s="130"/>
      <c r="R289" s="130"/>
      <c r="S289" s="130"/>
      <c r="T289" s="130"/>
      <c r="U289" s="130"/>
    </row>
    <row r="290" spans="2:21">
      <c r="B290" s="135"/>
      <c r="C290" s="136"/>
      <c r="D290" s="130" t="s">
        <v>175</v>
      </c>
      <c r="E290" s="130"/>
      <c r="F290" s="130"/>
      <c r="G290" s="130"/>
      <c r="H290" s="130"/>
      <c r="I290" s="130"/>
      <c r="J290" s="130"/>
      <c r="K290" s="130"/>
      <c r="L290" s="130"/>
      <c r="M290" s="130"/>
      <c r="N290" s="130"/>
      <c r="O290" s="130"/>
      <c r="P290" s="130"/>
      <c r="Q290" s="130"/>
      <c r="R290" s="130"/>
      <c r="S290" s="130"/>
      <c r="T290" s="130"/>
      <c r="U290" s="130"/>
    </row>
    <row r="291" spans="2:21">
      <c r="B291" s="135"/>
      <c r="C291" s="136"/>
      <c r="D291" s="130" t="s">
        <v>611</v>
      </c>
      <c r="E291" s="130"/>
      <c r="F291" s="130"/>
      <c r="G291" s="130"/>
      <c r="H291" s="130"/>
      <c r="I291" s="130"/>
      <c r="J291" s="130"/>
      <c r="K291" s="130"/>
      <c r="L291" s="130"/>
      <c r="M291" s="130"/>
      <c r="N291" s="130"/>
      <c r="O291" s="130"/>
      <c r="P291" s="130"/>
      <c r="Q291" s="130"/>
      <c r="R291" s="130"/>
      <c r="S291" s="130"/>
      <c r="T291" s="130"/>
      <c r="U291" s="130"/>
    </row>
    <row r="292" spans="2:21">
      <c r="B292" s="135"/>
      <c r="C292" s="136"/>
      <c r="D292" s="130" t="s">
        <v>598</v>
      </c>
      <c r="E292" s="130"/>
      <c r="F292" s="130"/>
      <c r="G292" s="130"/>
      <c r="H292" s="130"/>
      <c r="I292" s="130"/>
      <c r="J292" s="130"/>
      <c r="K292" s="130"/>
      <c r="L292" s="130"/>
      <c r="M292" s="130"/>
      <c r="N292" s="130"/>
      <c r="O292" s="130"/>
      <c r="P292" s="130"/>
      <c r="Q292" s="130"/>
      <c r="R292" s="130"/>
      <c r="S292" s="130"/>
      <c r="T292" s="130"/>
      <c r="U292" s="130"/>
    </row>
    <row r="293" spans="2:21">
      <c r="B293" s="135"/>
      <c r="C293" s="136"/>
      <c r="D293" s="130" t="s">
        <v>612</v>
      </c>
      <c r="E293" s="130"/>
      <c r="F293" s="130"/>
      <c r="G293" s="130"/>
      <c r="H293" s="130"/>
      <c r="I293" s="130"/>
      <c r="J293" s="130"/>
      <c r="K293" s="130"/>
      <c r="L293" s="130"/>
      <c r="M293" s="130"/>
      <c r="N293" s="130"/>
      <c r="O293" s="130"/>
      <c r="P293" s="130"/>
      <c r="Q293" s="130"/>
      <c r="R293" s="130"/>
      <c r="S293" s="130"/>
      <c r="T293" s="130"/>
      <c r="U293" s="130"/>
    </row>
    <row r="294" spans="2:21">
      <c r="B294" s="135"/>
      <c r="C294" s="136"/>
      <c r="D294" s="130" t="s">
        <v>599</v>
      </c>
      <c r="E294" s="130"/>
      <c r="F294" s="130"/>
      <c r="G294" s="130"/>
      <c r="H294" s="130"/>
      <c r="I294" s="130"/>
      <c r="J294" s="130"/>
      <c r="K294" s="130"/>
      <c r="L294" s="130"/>
      <c r="M294" s="130"/>
      <c r="N294" s="130"/>
      <c r="O294" s="130"/>
      <c r="P294" s="130"/>
      <c r="Q294" s="130"/>
      <c r="R294" s="130"/>
      <c r="S294" s="130"/>
      <c r="T294" s="130"/>
      <c r="U294" s="130"/>
    </row>
    <row r="295" spans="2:21">
      <c r="B295" s="135"/>
      <c r="C295" s="136"/>
      <c r="D295" s="130" t="s">
        <v>281</v>
      </c>
      <c r="E295" s="130"/>
      <c r="F295" s="130"/>
      <c r="G295" s="130"/>
      <c r="H295" s="130"/>
      <c r="I295" s="130"/>
      <c r="J295" s="130"/>
      <c r="K295" s="130"/>
      <c r="L295" s="130"/>
      <c r="M295" s="130"/>
      <c r="N295" s="130"/>
      <c r="O295" s="130"/>
      <c r="P295" s="130"/>
      <c r="Q295" s="130"/>
      <c r="R295" s="130"/>
      <c r="S295" s="130"/>
      <c r="T295" s="130"/>
      <c r="U295" s="130"/>
    </row>
    <row r="296" spans="2:21">
      <c r="B296" s="135"/>
      <c r="C296" s="136"/>
      <c r="D296" s="131"/>
      <c r="E296" s="130"/>
      <c r="F296" s="130"/>
      <c r="G296" s="130"/>
      <c r="H296" s="130"/>
      <c r="I296" s="130"/>
      <c r="J296" s="130"/>
      <c r="K296" s="130"/>
      <c r="L296" s="130"/>
      <c r="M296" s="130"/>
      <c r="N296" s="130"/>
      <c r="O296" s="130"/>
      <c r="P296" s="130"/>
      <c r="Q296" s="130"/>
      <c r="R296" s="130"/>
      <c r="S296" s="130"/>
      <c r="T296" s="130"/>
      <c r="U296" s="130"/>
    </row>
    <row r="297" spans="2:21" ht="15" customHeight="1">
      <c r="B297" s="135" t="s">
        <v>447</v>
      </c>
      <c r="C297" s="136"/>
      <c r="D297" s="1132" t="s">
        <v>613</v>
      </c>
      <c r="E297" s="1126"/>
      <c r="F297" s="1126"/>
      <c r="G297" s="1126"/>
      <c r="H297" s="1126"/>
      <c r="I297" s="1126"/>
      <c r="J297" s="1126"/>
      <c r="K297" s="1126"/>
      <c r="L297" s="130"/>
      <c r="M297" s="130"/>
      <c r="N297" s="130"/>
      <c r="O297" s="130"/>
      <c r="P297" s="130"/>
      <c r="Q297" s="130"/>
      <c r="R297" s="130"/>
      <c r="S297" s="130"/>
      <c r="T297" s="130"/>
      <c r="U297" s="130"/>
    </row>
    <row r="298" spans="2:21">
      <c r="B298" s="135"/>
      <c r="C298" s="136"/>
      <c r="D298" s="1126"/>
      <c r="E298" s="1126"/>
      <c r="F298" s="1126"/>
      <c r="G298" s="1126"/>
      <c r="H298" s="1126"/>
      <c r="I298" s="1126"/>
      <c r="J298" s="1126"/>
      <c r="K298" s="1126"/>
      <c r="L298" s="130"/>
      <c r="M298" s="130"/>
      <c r="N298" s="130"/>
      <c r="O298" s="130"/>
      <c r="P298" s="130"/>
      <c r="Q298" s="130"/>
      <c r="R298" s="130"/>
      <c r="S298" s="130"/>
      <c r="T298" s="130"/>
      <c r="U298" s="130"/>
    </row>
    <row r="299" spans="2:21">
      <c r="E299" s="130"/>
      <c r="F299" s="130"/>
      <c r="G299" s="130"/>
      <c r="H299" s="130"/>
      <c r="I299" s="130"/>
      <c r="J299" s="130"/>
      <c r="K299" s="130"/>
      <c r="L299" s="130"/>
      <c r="M299" s="130"/>
      <c r="N299" s="130"/>
      <c r="O299" s="130"/>
      <c r="P299" s="130"/>
      <c r="Q299" s="130"/>
      <c r="R299" s="130"/>
      <c r="S299" s="130"/>
      <c r="T299" s="130"/>
      <c r="U299" s="130"/>
    </row>
    <row r="300" spans="2:21">
      <c r="B300" s="135" t="s">
        <v>448</v>
      </c>
      <c r="C300" s="136"/>
      <c r="D300" s="131" t="s">
        <v>800</v>
      </c>
      <c r="E300" s="130"/>
      <c r="F300" s="130"/>
      <c r="G300" s="130"/>
      <c r="H300" s="130"/>
      <c r="I300" s="130"/>
      <c r="J300" s="130"/>
      <c r="K300" s="130"/>
      <c r="L300" s="130"/>
      <c r="M300" s="130"/>
      <c r="N300" s="130"/>
      <c r="O300" s="130"/>
      <c r="P300" s="130"/>
      <c r="Q300" s="130"/>
      <c r="R300" s="130"/>
      <c r="S300" s="130"/>
      <c r="T300" s="130"/>
      <c r="U300" s="130"/>
    </row>
    <row r="301" spans="2:21">
      <c r="B301" s="135"/>
      <c r="C301" s="136"/>
      <c r="D301" s="131"/>
      <c r="E301" s="130"/>
      <c r="F301" s="130"/>
      <c r="G301" s="130"/>
      <c r="H301" s="130"/>
      <c r="I301" s="130"/>
      <c r="J301" s="130"/>
      <c r="K301" s="130"/>
      <c r="L301" s="130"/>
      <c r="M301" s="130"/>
      <c r="N301" s="130"/>
      <c r="O301" s="130"/>
      <c r="P301" s="130"/>
      <c r="Q301" s="130"/>
      <c r="R301" s="130"/>
      <c r="S301" s="130"/>
      <c r="T301" s="130"/>
      <c r="U301" s="130"/>
    </row>
    <row r="302" spans="2:21">
      <c r="B302" s="135" t="s">
        <v>449</v>
      </c>
      <c r="C302" s="136"/>
      <c r="D302" s="130" t="s">
        <v>30</v>
      </c>
      <c r="E302" s="130"/>
      <c r="F302" s="130"/>
      <c r="G302" s="130"/>
      <c r="H302" s="130"/>
      <c r="I302" s="130"/>
      <c r="J302" s="130"/>
      <c r="K302" s="130"/>
      <c r="L302" s="130"/>
      <c r="M302" s="130"/>
      <c r="N302" s="130"/>
      <c r="O302" s="130"/>
      <c r="P302" s="130"/>
      <c r="Q302" s="130"/>
      <c r="R302" s="130"/>
      <c r="S302" s="130"/>
      <c r="T302" s="130"/>
      <c r="U302" s="130"/>
    </row>
    <row r="303" spans="2:21">
      <c r="B303" s="135"/>
      <c r="C303" s="136"/>
      <c r="D303" s="130" t="s">
        <v>287</v>
      </c>
      <c r="E303" s="130"/>
      <c r="F303" s="130"/>
      <c r="G303" s="130"/>
      <c r="H303" s="130"/>
      <c r="I303" s="130"/>
      <c r="J303" s="130"/>
      <c r="K303" s="130"/>
      <c r="L303" s="130"/>
      <c r="M303" s="130"/>
      <c r="N303" s="130"/>
      <c r="O303" s="130"/>
      <c r="P303" s="130"/>
      <c r="Q303" s="130"/>
      <c r="R303" s="130"/>
      <c r="S303" s="130"/>
      <c r="T303" s="130"/>
      <c r="U303" s="130"/>
    </row>
    <row r="304" spans="2:21">
      <c r="B304" s="135"/>
      <c r="C304" s="136"/>
      <c r="D304" s="130" t="s">
        <v>293</v>
      </c>
      <c r="E304" s="130"/>
      <c r="F304" s="130"/>
      <c r="G304" s="130"/>
      <c r="H304" s="130"/>
      <c r="I304" s="130"/>
      <c r="J304" s="130"/>
      <c r="K304" s="130"/>
      <c r="L304" s="130"/>
      <c r="M304" s="130"/>
      <c r="N304" s="130"/>
      <c r="O304" s="130"/>
      <c r="P304" s="130"/>
      <c r="Q304" s="130"/>
      <c r="R304" s="130"/>
      <c r="S304" s="130"/>
      <c r="T304" s="130"/>
      <c r="U304" s="130"/>
    </row>
    <row r="305" spans="2:21">
      <c r="B305" s="135"/>
      <c r="C305" s="136"/>
      <c r="D305" s="130" t="s">
        <v>162</v>
      </c>
      <c r="E305" s="130"/>
      <c r="F305" s="130"/>
      <c r="G305" s="130"/>
      <c r="H305" s="130"/>
      <c r="I305" s="130"/>
      <c r="J305" s="130"/>
      <c r="K305" s="130"/>
      <c r="L305" s="130"/>
      <c r="M305" s="130"/>
      <c r="N305" s="130"/>
      <c r="O305" s="130"/>
      <c r="P305" s="130"/>
      <c r="Q305" s="130"/>
      <c r="R305" s="130"/>
      <c r="S305" s="130"/>
      <c r="T305" s="130"/>
      <c r="U305" s="130"/>
    </row>
    <row r="306" spans="2:21">
      <c r="B306" s="135"/>
      <c r="C306" s="136"/>
      <c r="D306" s="130" t="s">
        <v>600</v>
      </c>
      <c r="E306" s="130"/>
      <c r="F306" s="130"/>
      <c r="G306" s="130"/>
      <c r="H306" s="130"/>
      <c r="I306" s="130"/>
      <c r="J306" s="130"/>
      <c r="K306" s="130"/>
      <c r="L306" s="130"/>
      <c r="M306" s="130"/>
      <c r="N306" s="130"/>
      <c r="O306" s="130"/>
      <c r="P306" s="130"/>
      <c r="Q306" s="130"/>
      <c r="R306" s="130"/>
      <c r="S306" s="130"/>
      <c r="T306" s="130"/>
      <c r="U306" s="130"/>
    </row>
    <row r="307" spans="2:21">
      <c r="B307" s="135"/>
      <c r="C307" s="136"/>
      <c r="D307" s="130" t="s">
        <v>601</v>
      </c>
      <c r="E307" s="130"/>
      <c r="F307" s="130"/>
      <c r="G307" s="130"/>
      <c r="H307" s="130"/>
      <c r="I307" s="130"/>
      <c r="J307" s="130"/>
      <c r="K307" s="130"/>
      <c r="L307" s="130"/>
      <c r="M307" s="130"/>
      <c r="N307" s="130"/>
      <c r="O307" s="130"/>
      <c r="P307" s="130"/>
      <c r="Q307" s="130"/>
      <c r="R307" s="130"/>
      <c r="S307" s="130"/>
      <c r="T307" s="130"/>
      <c r="U307" s="130"/>
    </row>
    <row r="308" spans="2:21">
      <c r="B308" s="135"/>
      <c r="C308" s="136"/>
      <c r="D308" s="130" t="s">
        <v>602</v>
      </c>
      <c r="E308" s="130"/>
      <c r="F308" s="130"/>
      <c r="G308" s="130"/>
      <c r="H308" s="130"/>
      <c r="I308" s="130"/>
      <c r="J308" s="130"/>
      <c r="K308" s="130"/>
      <c r="L308" s="130"/>
      <c r="M308" s="130"/>
      <c r="N308" s="130"/>
      <c r="O308" s="130"/>
      <c r="P308" s="130"/>
      <c r="Q308" s="130"/>
      <c r="R308" s="130"/>
      <c r="S308" s="130"/>
      <c r="T308" s="130"/>
      <c r="U308" s="130"/>
    </row>
    <row r="309" spans="2:21">
      <c r="B309" s="135"/>
      <c r="C309" s="136"/>
      <c r="D309" s="130" t="s">
        <v>108</v>
      </c>
      <c r="E309" s="130"/>
      <c r="F309" s="130"/>
      <c r="G309" s="130"/>
      <c r="H309" s="130"/>
      <c r="I309" s="130"/>
      <c r="J309" s="130"/>
      <c r="K309" s="130"/>
      <c r="L309" s="130"/>
      <c r="M309" s="130"/>
      <c r="N309" s="130"/>
      <c r="O309" s="130"/>
      <c r="P309" s="130"/>
      <c r="Q309" s="130"/>
      <c r="R309" s="130"/>
      <c r="S309" s="130"/>
      <c r="T309" s="130"/>
      <c r="U309" s="130"/>
    </row>
    <row r="310" spans="2:21">
      <c r="B310" s="135"/>
      <c r="C310" s="136"/>
      <c r="D310" s="130"/>
      <c r="E310" s="130"/>
      <c r="F310" s="130"/>
      <c r="G310" s="130"/>
      <c r="H310" s="130"/>
      <c r="I310" s="130"/>
      <c r="J310" s="130"/>
      <c r="K310" s="130"/>
      <c r="L310" s="130"/>
      <c r="M310" s="130"/>
      <c r="N310" s="130"/>
      <c r="O310" s="130"/>
      <c r="P310" s="130"/>
      <c r="Q310" s="130"/>
      <c r="R310" s="130"/>
      <c r="S310" s="130"/>
      <c r="T310" s="130"/>
      <c r="U310" s="130"/>
    </row>
    <row r="311" spans="2:21">
      <c r="B311" s="135" t="s">
        <v>450</v>
      </c>
      <c r="C311" s="130"/>
      <c r="D311" s="130" t="str">
        <f>"Cash Working Capital assigned to transmission is one-eighth of O&amp;M allocated to transmission, as shown on line "&amp;B140&amp;". It excludes:"</f>
        <v>Cash Working Capital assigned to transmission is one-eighth of O&amp;M allocated to transmission, as shown on line 66. It excludes:</v>
      </c>
      <c r="E311" s="3"/>
      <c r="F311" s="3"/>
      <c r="G311" s="3"/>
      <c r="H311" s="3"/>
      <c r="I311" s="3"/>
      <c r="J311" s="3"/>
      <c r="K311" s="3"/>
      <c r="L311" s="279"/>
      <c r="M311" s="130"/>
      <c r="N311" s="130"/>
      <c r="O311" s="130"/>
      <c r="P311" s="130"/>
      <c r="Q311" s="130"/>
      <c r="R311" s="130"/>
      <c r="S311" s="130"/>
      <c r="T311" s="130"/>
      <c r="U311" s="130"/>
    </row>
    <row r="312" spans="2:21">
      <c r="B312" s="135"/>
      <c r="C312" s="130"/>
      <c r="D312" s="280" t="str">
        <f>+"1)  Load Scheduling &amp; Dispatch Charges in account 561 that are collected in the OATT Ancilliary Services Revenue, as shown on line "&amp;B137&amp;"."</f>
        <v>1)  Load Scheduling &amp; Dispatch Charges in account 561 that are collected in the OATT Ancilliary Services Revenue, as shown on line 63.</v>
      </c>
      <c r="E312" s="41"/>
      <c r="F312" s="41"/>
      <c r="G312" s="41"/>
      <c r="H312" s="41"/>
      <c r="I312" s="41"/>
      <c r="J312" s="41"/>
      <c r="K312" s="41"/>
      <c r="L312" s="279"/>
      <c r="M312" s="130"/>
      <c r="N312" s="130"/>
      <c r="O312" s="130"/>
      <c r="P312" s="130"/>
      <c r="Q312" s="130"/>
      <c r="R312" s="130"/>
      <c r="S312" s="130"/>
      <c r="T312" s="130"/>
      <c r="U312" s="130"/>
    </row>
    <row r="313" spans="2:21">
      <c r="B313" s="135"/>
      <c r="C313" s="130"/>
      <c r="D313" s="281" t="str">
        <f>+"2)  Costs of Transmission of Electricity by Others, as described in Note H."</f>
        <v>2)  Costs of Transmission of Electricity by Others, as described in Note H.</v>
      </c>
      <c r="E313" s="3"/>
      <c r="F313" s="3"/>
      <c r="G313" s="3"/>
      <c r="H313" s="3"/>
      <c r="I313" s="3"/>
      <c r="J313" s="3"/>
      <c r="K313" s="3"/>
      <c r="L313" s="279"/>
      <c r="M313" s="130"/>
      <c r="N313" s="130"/>
      <c r="O313" s="130"/>
      <c r="P313" s="130"/>
      <c r="Q313" s="130"/>
      <c r="R313" s="130"/>
      <c r="S313" s="130"/>
      <c r="T313" s="130"/>
      <c r="U313" s="130"/>
    </row>
    <row r="314" spans="2:21">
      <c r="B314" s="135"/>
      <c r="C314" s="130"/>
      <c r="D314" s="280" t="str">
        <f>+"3)  The impact of state regulatory deferrals and amortizations, as shown on line  "&amp;B139&amp;""</f>
        <v>3)  The impact of state regulatory deferrals and amortizations, as shown on line  65</v>
      </c>
      <c r="E314" s="41"/>
      <c r="F314" s="41"/>
      <c r="G314" s="41"/>
      <c r="H314" s="41"/>
      <c r="I314" s="41"/>
      <c r="J314" s="41"/>
      <c r="K314" s="41"/>
      <c r="L314" s="279"/>
      <c r="M314" s="130"/>
      <c r="N314" s="130"/>
      <c r="O314" s="130"/>
      <c r="P314" s="130"/>
      <c r="Q314" s="130"/>
      <c r="R314" s="130"/>
      <c r="S314" s="130"/>
      <c r="T314" s="130"/>
      <c r="U314" s="130"/>
    </row>
    <row r="315" spans="2:21">
      <c r="B315" s="135"/>
      <c r="C315" s="41"/>
      <c r="D315" s="281" t="str">
        <f>"4) All A&amp;G Expenses, as shown on line "&amp;B154&amp;"."</f>
        <v>4) All A&amp;G Expenses, as shown on line 78.</v>
      </c>
      <c r="E315" s="3"/>
      <c r="F315" s="3"/>
      <c r="G315" s="3"/>
      <c r="H315" s="3"/>
      <c r="I315" s="3"/>
      <c r="J315" s="3"/>
      <c r="K315" s="3"/>
      <c r="L315" s="279"/>
      <c r="M315" s="130"/>
      <c r="N315" s="130"/>
      <c r="O315" s="130"/>
      <c r="P315" s="130"/>
      <c r="Q315" s="130"/>
      <c r="R315" s="130"/>
      <c r="S315" s="130"/>
      <c r="T315" s="130"/>
      <c r="U315" s="130"/>
    </row>
    <row r="316" spans="2:21">
      <c r="B316" s="135"/>
      <c r="C316" s="136"/>
      <c r="D316" s="280"/>
      <c r="E316" s="280"/>
      <c r="F316" s="280"/>
      <c r="G316" s="280"/>
      <c r="H316" s="280"/>
      <c r="I316" s="280"/>
      <c r="J316" s="280"/>
      <c r="K316" s="280"/>
      <c r="L316" s="130"/>
      <c r="M316" s="130"/>
      <c r="N316" s="130"/>
      <c r="O316" s="130"/>
      <c r="P316" s="130"/>
      <c r="Q316" s="130"/>
      <c r="R316" s="130"/>
      <c r="S316" s="130"/>
      <c r="T316" s="130"/>
      <c r="U316" s="130"/>
    </row>
    <row r="317" spans="2:21">
      <c r="B317" s="278" t="s">
        <v>451</v>
      </c>
      <c r="C317" s="196"/>
      <c r="D317" s="282" t="str">
        <f>"Consistent with Paragraph 657 of Order 2003-A, the amount on line "&amp;B116&amp;" is equal to the balance of IPP System Upgrade Credits owed to transmission customers that"</f>
        <v>Consistent with Paragraph 657 of Order 2003-A, the amount on line 57 is equal to the balance of IPP System Upgrade Credits owed to transmission customers that</v>
      </c>
      <c r="E317" s="282"/>
      <c r="F317" s="282"/>
      <c r="G317" s="282"/>
      <c r="H317" s="282"/>
      <c r="I317" s="282"/>
      <c r="J317" s="282"/>
      <c r="K317" s="282"/>
      <c r="M317" s="130"/>
      <c r="N317" s="130"/>
      <c r="O317" s="130"/>
      <c r="P317" s="130"/>
      <c r="Q317" s="130"/>
      <c r="R317" s="130"/>
      <c r="S317" s="130"/>
      <c r="T317" s="130"/>
      <c r="U317" s="130"/>
    </row>
    <row r="318" spans="2:21">
      <c r="D318" s="282" t="s">
        <v>507</v>
      </c>
      <c r="E318" s="282"/>
      <c r="F318" s="282"/>
      <c r="G318" s="282"/>
      <c r="H318" s="282"/>
      <c r="I318" s="282"/>
      <c r="J318" s="282"/>
      <c r="K318" s="282"/>
      <c r="M318" s="130"/>
      <c r="N318" s="130"/>
      <c r="O318" s="130"/>
      <c r="P318" s="130"/>
      <c r="Q318" s="130"/>
      <c r="R318" s="130"/>
      <c r="S318" s="130"/>
      <c r="T318" s="130"/>
      <c r="U318" s="130"/>
    </row>
    <row r="319" spans="2:21">
      <c r="D319" s="282" t="str">
        <f>"expense is included on line "&amp;B193&amp;"."</f>
        <v>expense is included on line 110.</v>
      </c>
      <c r="E319" s="282"/>
      <c r="F319" s="282"/>
      <c r="G319" s="282"/>
      <c r="H319" s="282"/>
      <c r="I319" s="282"/>
      <c r="J319" s="282"/>
      <c r="K319" s="282"/>
      <c r="M319" s="130"/>
      <c r="N319" s="130"/>
      <c r="O319" s="130"/>
      <c r="P319" s="130"/>
      <c r="Q319" s="130"/>
      <c r="R319" s="130"/>
      <c r="S319" s="130"/>
      <c r="T319" s="130"/>
      <c r="U319" s="130"/>
    </row>
    <row r="320" spans="2:21" ht="21" customHeight="1">
      <c r="D320" s="282"/>
      <c r="E320" s="282"/>
      <c r="F320" s="282"/>
      <c r="G320" s="282"/>
      <c r="H320" s="282"/>
      <c r="I320" s="282"/>
      <c r="J320" s="282"/>
      <c r="K320" s="282"/>
      <c r="N320" s="130"/>
      <c r="O320" s="130"/>
      <c r="P320" s="130"/>
      <c r="Q320" s="130"/>
      <c r="R320" s="130"/>
      <c r="S320" s="130"/>
      <c r="T320" s="130"/>
      <c r="U320" s="130"/>
    </row>
    <row r="321" spans="2:21" ht="14.25" customHeight="1">
      <c r="B321" s="278" t="s">
        <v>452</v>
      </c>
      <c r="D321" s="1118" t="str">
        <f>"Removes from the cost of service the Load Scheduling and Dispatch expenses booked to accounts 561.1 through 561.8.  Expenses recorded in these accounts, with the exception of 561.4 &amp; 561.8 (lines "&amp;B42&amp;" &amp; "&amp;B43&amp;" above) are recovered in Schedule 1A, OATT ancillary services rates. See Worksheet F, lines "&amp;'WS F Misc Exp'!A24&amp;" through "&amp;'WS F Misc Exp'!A33&amp;", for descriptions and the Form 1 Source of these accounts' balances."</f>
        <v>Removes from the cost of service the Load Scheduling and Dispatch expenses booked to accounts 561.1 through 561.8.  Expenses recorded in these accounts, with the exception of 561.4 &amp; 561.8 (lines 16 &amp; 17 above) are recovered in Schedule 1A, OATT ancillary services rates. See Worksheet F, lines 5 through 14, for descriptions and the Form 1 Source of these accounts' balances.</v>
      </c>
      <c r="E321" s="1118"/>
      <c r="F321" s="1118"/>
      <c r="G321" s="1118"/>
      <c r="H321" s="1118"/>
      <c r="I321" s="1118"/>
      <c r="J321" s="1118"/>
      <c r="K321" s="1118"/>
      <c r="N321" s="130"/>
      <c r="O321" s="130"/>
      <c r="P321" s="130"/>
      <c r="Q321" s="130"/>
      <c r="R321" s="130"/>
      <c r="S321" s="130"/>
      <c r="T321" s="130"/>
      <c r="U321" s="130"/>
    </row>
    <row r="322" spans="2:21" ht="45" customHeight="1">
      <c r="B322" s="278"/>
      <c r="D322" s="1118"/>
      <c r="E322" s="1118"/>
      <c r="F322" s="1118"/>
      <c r="G322" s="1118"/>
      <c r="H322" s="1118"/>
      <c r="I322" s="1118"/>
      <c r="J322" s="1118"/>
      <c r="K322" s="1118"/>
      <c r="N322" s="130"/>
      <c r="O322" s="130"/>
      <c r="P322" s="130"/>
      <c r="Q322" s="130"/>
      <c r="R322" s="130"/>
      <c r="S322" s="130"/>
      <c r="T322" s="130"/>
      <c r="U322" s="130"/>
    </row>
    <row r="323" spans="2:21" ht="5.25" hidden="1" customHeight="1">
      <c r="B323" s="278"/>
      <c r="D323" s="1118"/>
      <c r="E323" s="1118"/>
      <c r="F323" s="1118"/>
      <c r="G323" s="1118"/>
      <c r="H323" s="1118"/>
      <c r="I323" s="1118"/>
      <c r="J323" s="1118"/>
      <c r="K323" s="1118"/>
      <c r="N323" s="130"/>
      <c r="O323" s="130"/>
      <c r="P323" s="130"/>
      <c r="Q323" s="130"/>
      <c r="R323" s="130"/>
      <c r="S323" s="130"/>
      <c r="T323" s="130"/>
      <c r="U323" s="130"/>
    </row>
    <row r="324" spans="2:21">
      <c r="B324" s="278"/>
      <c r="D324" s="280"/>
      <c r="E324" s="282"/>
      <c r="F324" s="282"/>
      <c r="G324" s="282"/>
      <c r="H324" s="282"/>
      <c r="I324" s="282"/>
      <c r="J324" s="282"/>
      <c r="K324" s="282"/>
      <c r="N324" s="130"/>
      <c r="O324" s="130"/>
      <c r="P324" s="130"/>
      <c r="Q324" s="130"/>
      <c r="R324" s="130"/>
      <c r="S324" s="130"/>
      <c r="T324" s="130"/>
      <c r="U324" s="130"/>
    </row>
    <row r="325" spans="2:21">
      <c r="B325" s="278" t="s">
        <v>453</v>
      </c>
      <c r="D325" s="1121" t="str">
        <f>"Removes cost of transmission service provided by others to determine the basis of cash working capital on line "&amp;B140&amp;". To the extent such service is incurred to provide the PJM service at issue, e.g. lease payments to affiliates, such costs are added back on line "&amp;B157&amp;" to determine the total O&amp;M collected in the formula.  The amounts on line"&amp;B157&amp;" is also excluded in the calculation of the FCR percentage calculated on lines "&amp;B26&amp;" through "&amp;B34&amp;"."</f>
        <v>Removes cost of transmission service provided by others to determine the basis of cash working capital on line 66. To the extent such service is incurred to provide the PJM service at issue, e.g. lease payments to affiliates, such costs are added back on line 80 to determine the total O&amp;M collected in the formula.  The amounts on line80 is also excluded in the calculation of the FCR percentage calculated on lines 6 through 12.</v>
      </c>
      <c r="E325" s="1121"/>
      <c r="F325" s="1121"/>
      <c r="G325" s="1121"/>
      <c r="H325" s="1121"/>
      <c r="I325" s="1121"/>
      <c r="J325" s="1121"/>
      <c r="K325" s="1121"/>
      <c r="N325" s="130"/>
      <c r="O325" s="130"/>
      <c r="P325" s="130"/>
      <c r="Q325" s="130"/>
      <c r="R325" s="130"/>
      <c r="S325" s="130"/>
      <c r="T325" s="130"/>
      <c r="U325" s="130"/>
    </row>
    <row r="326" spans="2:21">
      <c r="B326" s="278"/>
      <c r="D326" s="1121"/>
      <c r="E326" s="1121"/>
      <c r="F326" s="1121"/>
      <c r="G326" s="1121"/>
      <c r="H326" s="1121"/>
      <c r="I326" s="1121"/>
      <c r="J326" s="1121"/>
      <c r="K326" s="1121"/>
      <c r="N326" s="130"/>
      <c r="O326" s="130"/>
      <c r="P326" s="130"/>
      <c r="Q326" s="130"/>
      <c r="R326" s="130"/>
      <c r="S326" s="130"/>
      <c r="T326" s="130"/>
      <c r="U326" s="130"/>
    </row>
    <row r="327" spans="2:21">
      <c r="B327" s="278"/>
      <c r="D327" s="1122"/>
      <c r="E327" s="1122"/>
      <c r="F327" s="1122"/>
      <c r="G327" s="1122"/>
      <c r="H327" s="1122"/>
      <c r="I327" s="1122"/>
      <c r="J327" s="1122"/>
      <c r="K327" s="1122"/>
      <c r="N327" s="130"/>
      <c r="O327" s="130"/>
      <c r="P327" s="130"/>
      <c r="Q327" s="130"/>
      <c r="R327" s="130"/>
      <c r="S327" s="130"/>
      <c r="T327" s="130"/>
      <c r="U327" s="130"/>
    </row>
    <row r="328" spans="2:21">
      <c r="B328" s="278"/>
      <c r="D328" s="1123" t="str">
        <f>"The addbacks  on line"&amp;B157&amp;" of activity recorded in 565 represents inter-company sales or purchases of transmission capacity necessary to meet each AEP company's transmission load relative to their available transmission capacity."</f>
        <v>The addbacks  on line80 of activity recorded in 565 represents inter-company sales or purchases of transmission capacity necessary to meet each AEP company's transmission load relative to their available transmission capacity.</v>
      </c>
      <c r="E328" s="1123"/>
      <c r="F328" s="1123"/>
      <c r="G328" s="1123"/>
      <c r="H328" s="1123"/>
      <c r="I328" s="1123"/>
      <c r="J328" s="1123"/>
      <c r="K328" s="283"/>
      <c r="N328" s="130"/>
      <c r="O328" s="130"/>
      <c r="P328" s="130"/>
      <c r="Q328" s="130"/>
      <c r="R328" s="130"/>
      <c r="S328" s="130"/>
      <c r="T328" s="130"/>
      <c r="U328" s="130"/>
    </row>
    <row r="329" spans="2:21">
      <c r="B329" s="278"/>
      <c r="D329" s="1123"/>
      <c r="E329" s="1123"/>
      <c r="F329" s="1123"/>
      <c r="G329" s="1123"/>
      <c r="H329" s="1123"/>
      <c r="I329" s="1123"/>
      <c r="J329" s="1123"/>
      <c r="K329" s="283"/>
      <c r="N329" s="130"/>
      <c r="O329" s="130"/>
      <c r="P329" s="130"/>
      <c r="Q329" s="130"/>
      <c r="R329" s="130"/>
      <c r="S329" s="130"/>
      <c r="T329" s="130"/>
      <c r="U329" s="130"/>
    </row>
    <row r="330" spans="2:21" ht="22.5" customHeight="1">
      <c r="B330" s="278"/>
      <c r="D330" s="282" t="str">
        <f>"The company records referenced on line"&amp;B157&amp;" is the "&amp;F9&amp;" general ledger."</f>
        <v>The company records referenced on line80 is the AEP Kentucky Transmission Company general ledger.</v>
      </c>
      <c r="E330" s="284"/>
      <c r="F330" s="284"/>
      <c r="G330" s="284"/>
      <c r="H330" s="284"/>
      <c r="I330" s="284"/>
      <c r="J330" s="284"/>
      <c r="K330" s="283"/>
      <c r="N330" s="130"/>
      <c r="O330" s="130"/>
      <c r="P330" s="130"/>
      <c r="Q330" s="130"/>
      <c r="R330" s="130"/>
      <c r="S330" s="130"/>
      <c r="T330" s="130"/>
      <c r="U330" s="130"/>
    </row>
    <row r="331" spans="2:21">
      <c r="B331" s="278"/>
      <c r="D331" s="284"/>
      <c r="E331" s="284"/>
      <c r="F331" s="284"/>
      <c r="G331" s="284"/>
      <c r="H331" s="284"/>
      <c r="I331" s="284"/>
      <c r="J331" s="284"/>
      <c r="K331" s="284"/>
      <c r="N331" s="130"/>
      <c r="O331" s="130"/>
      <c r="P331" s="130"/>
      <c r="Q331" s="130"/>
      <c r="R331" s="130"/>
      <c r="S331" s="130"/>
      <c r="T331" s="130"/>
      <c r="U331" s="130"/>
    </row>
    <row r="332" spans="2:21">
      <c r="B332" s="278" t="s">
        <v>454</v>
      </c>
      <c r="D332" s="282" t="s">
        <v>603</v>
      </c>
      <c r="E332" s="41"/>
      <c r="F332" s="41"/>
      <c r="G332" s="41"/>
      <c r="H332" s="41"/>
      <c r="I332" s="41"/>
      <c r="J332" s="41"/>
      <c r="K332" s="41"/>
      <c r="N332" s="130"/>
      <c r="O332" s="130"/>
      <c r="P332" s="130"/>
      <c r="Q332" s="130"/>
      <c r="R332" s="130"/>
      <c r="S332" s="130"/>
      <c r="T332" s="130"/>
      <c r="U332" s="130"/>
    </row>
    <row r="333" spans="2:21">
      <c r="B333" s="278"/>
      <c r="D333" s="285"/>
      <c r="E333" s="285"/>
      <c r="F333" s="285"/>
      <c r="G333" s="285"/>
      <c r="H333" s="285"/>
      <c r="I333" s="285"/>
      <c r="J333" s="285"/>
      <c r="K333" s="285"/>
      <c r="N333" s="130"/>
      <c r="O333" s="130"/>
      <c r="P333" s="130"/>
      <c r="Q333" s="130"/>
      <c r="R333" s="130"/>
      <c r="S333" s="130"/>
      <c r="T333" s="130"/>
      <c r="U333" s="130"/>
    </row>
    <row r="334" spans="2:21" ht="15" customHeight="1">
      <c r="B334" s="278" t="s">
        <v>455</v>
      </c>
      <c r="D334" s="1125" t="s">
        <v>7</v>
      </c>
      <c r="E334" s="1126"/>
      <c r="F334" s="1126"/>
      <c r="G334" s="1126"/>
      <c r="H334" s="1126"/>
      <c r="I334" s="1126"/>
      <c r="J334" s="1126"/>
      <c r="K334" s="282"/>
      <c r="N334" s="130"/>
      <c r="O334" s="130"/>
      <c r="P334" s="130"/>
      <c r="Q334" s="130"/>
      <c r="R334" s="130"/>
      <c r="S334" s="130"/>
      <c r="T334" s="130"/>
      <c r="U334" s="130"/>
    </row>
    <row r="335" spans="2:21">
      <c r="B335" s="278"/>
      <c r="D335" s="1127"/>
      <c r="E335" s="1127"/>
      <c r="F335" s="1127"/>
      <c r="G335" s="1127"/>
      <c r="H335" s="1127"/>
      <c r="I335" s="1127"/>
      <c r="J335" s="1127"/>
      <c r="K335" s="285"/>
      <c r="N335" s="130"/>
      <c r="O335" s="130"/>
      <c r="P335" s="130"/>
      <c r="Q335" s="130"/>
      <c r="R335" s="130"/>
      <c r="S335" s="130"/>
      <c r="T335" s="130"/>
      <c r="U335" s="130"/>
    </row>
    <row r="336" spans="2:21">
      <c r="B336" s="278"/>
      <c r="D336" s="1126"/>
      <c r="E336" s="1126"/>
      <c r="F336" s="1126"/>
      <c r="G336" s="1126"/>
      <c r="H336" s="1126"/>
      <c r="I336" s="1126"/>
      <c r="J336" s="1126"/>
      <c r="K336" s="282"/>
      <c r="N336" s="130"/>
      <c r="O336" s="130"/>
      <c r="P336" s="130"/>
      <c r="Q336" s="130"/>
      <c r="R336" s="130"/>
      <c r="S336" s="130"/>
      <c r="T336" s="130"/>
      <c r="U336" s="130"/>
    </row>
    <row r="337" spans="2:21">
      <c r="B337" s="278"/>
      <c r="N337" s="130"/>
      <c r="O337" s="130"/>
      <c r="P337" s="130"/>
      <c r="Q337" s="130"/>
      <c r="R337" s="130"/>
      <c r="S337" s="130"/>
      <c r="T337" s="130"/>
      <c r="U337" s="130"/>
    </row>
    <row r="338" spans="2:21" ht="15" customHeight="1">
      <c r="B338" s="135" t="s">
        <v>456</v>
      </c>
      <c r="D338" s="1119" t="s">
        <v>797</v>
      </c>
      <c r="E338" s="1120"/>
      <c r="F338" s="1120"/>
      <c r="G338" s="1120"/>
      <c r="H338" s="1120"/>
      <c r="I338" s="1120"/>
      <c r="J338" s="1120"/>
      <c r="K338" s="1120"/>
      <c r="N338" s="130"/>
      <c r="O338" s="130"/>
      <c r="P338" s="130"/>
      <c r="Q338" s="130"/>
      <c r="R338" s="130"/>
      <c r="S338" s="130"/>
      <c r="T338" s="130"/>
      <c r="U338" s="130"/>
    </row>
    <row r="339" spans="2:21">
      <c r="B339" s="278"/>
      <c r="N339" s="130"/>
      <c r="O339" s="130"/>
      <c r="P339" s="130"/>
      <c r="Q339" s="130"/>
      <c r="R339" s="130"/>
      <c r="S339" s="130"/>
      <c r="T339" s="130"/>
      <c r="U339" s="130"/>
    </row>
    <row r="340" spans="2:21">
      <c r="B340" s="135" t="s">
        <v>457</v>
      </c>
      <c r="C340" s="136"/>
      <c r="D340" s="130" t="s">
        <v>158</v>
      </c>
      <c r="E340" s="130"/>
      <c r="F340" s="130"/>
      <c r="G340" s="130"/>
      <c r="H340" s="130"/>
      <c r="I340" s="130"/>
      <c r="J340" s="130"/>
      <c r="K340" s="130"/>
      <c r="L340" s="130"/>
      <c r="N340" s="130"/>
      <c r="O340" s="130"/>
      <c r="P340" s="130"/>
      <c r="Q340" s="130"/>
      <c r="R340" s="130"/>
      <c r="S340" s="130"/>
      <c r="T340" s="130"/>
      <c r="U340" s="130"/>
    </row>
    <row r="341" spans="2:21">
      <c r="B341" s="135"/>
      <c r="C341" s="136"/>
      <c r="D341" s="130" t="s">
        <v>277</v>
      </c>
      <c r="E341" s="130"/>
      <c r="F341" s="130"/>
      <c r="G341" s="130"/>
      <c r="H341" s="130"/>
      <c r="I341" s="130"/>
      <c r="J341" s="130"/>
      <c r="K341" s="130"/>
      <c r="L341" s="130"/>
      <c r="N341" s="130"/>
      <c r="O341" s="130"/>
      <c r="P341" s="130"/>
      <c r="Q341" s="130"/>
      <c r="R341" s="130"/>
      <c r="S341" s="130"/>
      <c r="T341" s="130"/>
      <c r="U341" s="130"/>
    </row>
    <row r="342" spans="2:21">
      <c r="B342" s="135"/>
      <c r="C342" s="136"/>
      <c r="D342" s="130" t="s">
        <v>278</v>
      </c>
      <c r="E342" s="130"/>
      <c r="F342" s="130"/>
      <c r="G342" s="130"/>
      <c r="H342" s="130"/>
      <c r="I342" s="130"/>
      <c r="J342" s="130"/>
      <c r="K342" s="130"/>
      <c r="L342" s="130"/>
      <c r="N342" s="130"/>
      <c r="O342" s="130"/>
      <c r="P342" s="130"/>
      <c r="Q342" s="130"/>
      <c r="R342" s="130"/>
      <c r="S342" s="130"/>
      <c r="T342" s="130"/>
      <c r="U342" s="130"/>
    </row>
    <row r="343" spans="2:21">
      <c r="B343" s="135"/>
      <c r="C343" s="136"/>
      <c r="D343" s="125" t="s">
        <v>279</v>
      </c>
      <c r="E343" s="130"/>
      <c r="F343" s="130"/>
      <c r="G343" s="130"/>
      <c r="H343" s="130"/>
      <c r="I343" s="130"/>
      <c r="J343" s="130"/>
      <c r="K343" s="130"/>
      <c r="L343" s="130"/>
      <c r="N343" s="130"/>
      <c r="O343" s="130"/>
      <c r="P343" s="130"/>
      <c r="Q343" s="130"/>
      <c r="R343" s="130"/>
      <c r="S343" s="130"/>
      <c r="T343" s="130"/>
      <c r="U343" s="130"/>
    </row>
    <row r="344" spans="2:21">
      <c r="B344" s="135"/>
      <c r="C344" s="136"/>
      <c r="E344" s="130"/>
      <c r="F344" s="130"/>
      <c r="G344" s="130"/>
      <c r="H344" s="130"/>
      <c r="I344" s="130"/>
      <c r="J344" s="130"/>
      <c r="K344" s="130"/>
      <c r="L344" s="130"/>
      <c r="N344" s="130"/>
      <c r="O344" s="130"/>
      <c r="P344" s="130"/>
      <c r="Q344" s="130"/>
      <c r="R344" s="130"/>
      <c r="S344" s="130"/>
      <c r="T344" s="130"/>
      <c r="U344" s="130"/>
    </row>
    <row r="345" spans="2:21" ht="25.5" customHeight="1">
      <c r="B345" s="135" t="s">
        <v>458</v>
      </c>
      <c r="C345" s="136"/>
      <c r="D345" s="1124" t="s">
        <v>798</v>
      </c>
      <c r="E345" s="1124"/>
      <c r="F345" s="1124"/>
      <c r="G345" s="1124"/>
      <c r="H345" s="1124"/>
      <c r="I345" s="1124"/>
      <c r="J345" s="1124"/>
      <c r="K345" s="1124"/>
      <c r="L345" s="1124"/>
      <c r="N345" s="130"/>
      <c r="O345" s="130"/>
      <c r="P345" s="130"/>
      <c r="Q345" s="130"/>
      <c r="R345" s="130"/>
      <c r="S345" s="130"/>
      <c r="T345" s="130"/>
      <c r="U345" s="130"/>
    </row>
    <row r="346" spans="2:21">
      <c r="B346" s="135"/>
      <c r="C346" s="136"/>
      <c r="D346" s="1124"/>
      <c r="E346" s="1124"/>
      <c r="F346" s="1124"/>
      <c r="G346" s="1124"/>
      <c r="H346" s="1124"/>
      <c r="I346" s="1124"/>
      <c r="J346" s="1124"/>
      <c r="K346" s="1124"/>
      <c r="L346" s="1124"/>
      <c r="N346" s="130"/>
      <c r="O346" s="130"/>
      <c r="P346" s="130"/>
      <c r="Q346" s="130"/>
      <c r="R346" s="130"/>
      <c r="S346" s="130"/>
      <c r="T346" s="130"/>
      <c r="U346" s="130"/>
    </row>
    <row r="347" spans="2:21">
      <c r="B347" s="135"/>
      <c r="C347" s="136"/>
      <c r="D347" s="1124"/>
      <c r="E347" s="1124"/>
      <c r="F347" s="1124"/>
      <c r="G347" s="1124"/>
      <c r="H347" s="1124"/>
      <c r="I347" s="1124"/>
      <c r="J347" s="1124"/>
      <c r="K347" s="1124"/>
      <c r="L347" s="1124"/>
      <c r="N347" s="130"/>
      <c r="O347" s="130"/>
      <c r="P347" s="130"/>
      <c r="Q347" s="130"/>
      <c r="R347" s="130"/>
      <c r="S347" s="130"/>
      <c r="T347" s="130"/>
      <c r="U347" s="130"/>
    </row>
    <row r="348" spans="2:21">
      <c r="B348" s="135"/>
      <c r="C348" s="136"/>
      <c r="D348" s="209"/>
      <c r="E348" s="130"/>
      <c r="F348" s="130"/>
      <c r="G348" s="130"/>
      <c r="H348" s="130"/>
      <c r="I348" s="130"/>
      <c r="J348" s="130"/>
      <c r="K348" s="130"/>
      <c r="L348" s="130"/>
      <c r="N348" s="130"/>
      <c r="O348" s="130"/>
      <c r="P348" s="130"/>
      <c r="Q348" s="130"/>
      <c r="R348" s="130"/>
      <c r="S348" s="130"/>
      <c r="T348" s="130"/>
      <c r="U348" s="130"/>
    </row>
    <row r="349" spans="2:21">
      <c r="B349" s="196" t="s">
        <v>31</v>
      </c>
      <c r="C349" s="136"/>
      <c r="D349" s="130" t="s">
        <v>594</v>
      </c>
      <c r="E349" s="131"/>
      <c r="F349" s="131"/>
      <c r="G349" s="131"/>
      <c r="H349" s="131"/>
      <c r="I349" s="131"/>
      <c r="J349" s="131"/>
      <c r="N349" s="130"/>
      <c r="O349" s="130"/>
      <c r="P349" s="130"/>
      <c r="Q349" s="130"/>
      <c r="R349" s="130"/>
      <c r="S349" s="130"/>
      <c r="T349" s="130"/>
      <c r="U349" s="130"/>
    </row>
    <row r="350" spans="2:21">
      <c r="B350" s="196"/>
      <c r="C350" s="136"/>
      <c r="D350" s="131"/>
      <c r="E350" s="131"/>
      <c r="F350" s="131"/>
      <c r="G350" s="131"/>
      <c r="H350" s="131"/>
      <c r="I350" s="131"/>
      <c r="J350" s="131"/>
      <c r="N350" s="130"/>
      <c r="O350" s="130"/>
      <c r="P350" s="130"/>
      <c r="Q350" s="130"/>
      <c r="R350" s="130"/>
      <c r="S350" s="130"/>
      <c r="T350" s="130"/>
      <c r="U350" s="130"/>
    </row>
    <row r="351" spans="2:21">
      <c r="B351" s="135" t="s">
        <v>107</v>
      </c>
      <c r="C351" s="136"/>
      <c r="D351" s="130" t="s">
        <v>146</v>
      </c>
      <c r="N351" s="130"/>
      <c r="O351" s="130"/>
      <c r="P351" s="130"/>
      <c r="Q351" s="130"/>
      <c r="R351" s="130"/>
      <c r="S351" s="130"/>
      <c r="T351" s="130"/>
      <c r="U351" s="130"/>
    </row>
    <row r="352" spans="2:21">
      <c r="B352" s="196"/>
      <c r="C352" s="136"/>
      <c r="D352" s="130" t="s">
        <v>18</v>
      </c>
      <c r="N352" s="130"/>
      <c r="O352" s="130"/>
      <c r="P352" s="130"/>
      <c r="Q352" s="130"/>
      <c r="R352" s="130"/>
      <c r="S352" s="130"/>
      <c r="T352" s="130"/>
      <c r="U352" s="130"/>
    </row>
    <row r="353" spans="2:21">
      <c r="B353" s="196"/>
      <c r="C353" s="136"/>
      <c r="D353" s="130" t="s">
        <v>19</v>
      </c>
      <c r="N353" s="130"/>
      <c r="O353" s="130"/>
      <c r="P353" s="130"/>
      <c r="Q353" s="130"/>
      <c r="R353" s="130"/>
      <c r="S353" s="130"/>
      <c r="T353" s="130"/>
      <c r="U353" s="130"/>
    </row>
    <row r="354" spans="2:21">
      <c r="B354" s="196"/>
      <c r="C354" s="136"/>
      <c r="D354" s="130" t="s">
        <v>20</v>
      </c>
      <c r="N354" s="130"/>
      <c r="O354" s="130"/>
      <c r="P354" s="130"/>
      <c r="Q354" s="130"/>
      <c r="R354" s="130"/>
      <c r="S354" s="130"/>
      <c r="T354" s="130"/>
      <c r="U354" s="130"/>
    </row>
    <row r="355" spans="2:21">
      <c r="B355" s="135"/>
      <c r="C355" s="136"/>
      <c r="D355" s="130" t="str">
        <f>"(ln "&amp;B182&amp;") multiplied by (1/1-T) .  If the applicable tax rates are zero enter 0."</f>
        <v>(ln 101) multiplied by (1/1-T) .  If the applicable tax rates are zero enter 0.</v>
      </c>
      <c r="N355" s="130"/>
      <c r="O355" s="130"/>
      <c r="P355" s="130"/>
      <c r="Q355" s="130"/>
      <c r="R355" s="130"/>
      <c r="S355" s="130"/>
      <c r="T355" s="130"/>
      <c r="U355" s="130"/>
    </row>
    <row r="356" spans="2:21">
      <c r="B356" s="286"/>
      <c r="C356" s="130"/>
      <c r="D356" s="130" t="s">
        <v>147</v>
      </c>
      <c r="E356" s="130" t="s">
        <v>148</v>
      </c>
      <c r="F356" s="119">
        <v>0.21</v>
      </c>
      <c r="G356" s="130"/>
      <c r="N356" s="130"/>
      <c r="O356" s="130"/>
      <c r="P356" s="130"/>
      <c r="Q356" s="130"/>
      <c r="R356" s="130"/>
      <c r="S356" s="130"/>
      <c r="T356" s="130"/>
      <c r="U356" s="130"/>
    </row>
    <row r="357" spans="2:21">
      <c r="B357" s="286"/>
      <c r="C357" s="130"/>
      <c r="D357" s="130"/>
      <c r="E357" s="130" t="s">
        <v>149</v>
      </c>
      <c r="F357" s="156">
        <f>+'WS G  State Tax Rate'!F29</f>
        <v>4.9599999999999998E-2</v>
      </c>
      <c r="G357" s="130" t="s">
        <v>301</v>
      </c>
      <c r="N357" s="130"/>
      <c r="O357" s="130"/>
      <c r="P357" s="130"/>
      <c r="Q357" s="130"/>
      <c r="R357" s="130"/>
      <c r="S357" s="130"/>
      <c r="T357" s="130"/>
      <c r="U357" s="130"/>
    </row>
    <row r="358" spans="2:21">
      <c r="B358" s="286"/>
      <c r="C358" s="130"/>
      <c r="D358" s="130"/>
      <c r="E358" s="130" t="s">
        <v>150</v>
      </c>
      <c r="F358" s="119">
        <v>0</v>
      </c>
      <c r="G358" s="130" t="s">
        <v>151</v>
      </c>
      <c r="N358" s="130"/>
      <c r="O358" s="130"/>
      <c r="P358" s="130"/>
      <c r="Q358" s="130"/>
      <c r="R358" s="130"/>
      <c r="S358" s="130"/>
      <c r="T358" s="130"/>
      <c r="U358" s="130"/>
    </row>
    <row r="359" spans="2:21" ht="46.5" customHeight="1">
      <c r="B359" s="196"/>
      <c r="C359" s="136"/>
      <c r="D359" s="1128" t="s">
        <v>604</v>
      </c>
      <c r="E359" s="1128"/>
      <c r="F359" s="1128"/>
      <c r="G359" s="1128"/>
      <c r="H359" s="1128"/>
      <c r="I359" s="1128"/>
      <c r="J359" s="1128"/>
      <c r="M359" s="130"/>
      <c r="N359" s="130"/>
      <c r="O359" s="130"/>
      <c r="P359" s="130"/>
      <c r="Q359" s="130"/>
      <c r="R359" s="130"/>
      <c r="S359" s="130"/>
      <c r="T359" s="130"/>
      <c r="U359" s="130"/>
    </row>
    <row r="360" spans="2:21">
      <c r="B360" s="135" t="s">
        <v>152</v>
      </c>
      <c r="C360" s="136"/>
      <c r="D360" s="130" t="s">
        <v>547</v>
      </c>
      <c r="N360" s="130"/>
      <c r="O360" s="130"/>
      <c r="P360" s="130"/>
      <c r="Q360" s="130"/>
      <c r="R360" s="130"/>
      <c r="S360" s="130"/>
      <c r="T360" s="130"/>
      <c r="U360" s="130"/>
    </row>
    <row r="361" spans="2:21">
      <c r="B361" s="125"/>
      <c r="D361" s="130"/>
      <c r="N361" s="130"/>
      <c r="O361" s="130"/>
      <c r="P361" s="130"/>
      <c r="Q361" s="130"/>
      <c r="R361" s="130"/>
      <c r="S361" s="130"/>
      <c r="T361" s="130"/>
      <c r="U361" s="130"/>
    </row>
    <row r="362" spans="2:21">
      <c r="B362" s="135" t="s">
        <v>153</v>
      </c>
      <c r="C362" s="136"/>
      <c r="D362" s="130" t="s">
        <v>359</v>
      </c>
      <c r="N362" s="130"/>
      <c r="O362" s="130"/>
      <c r="P362" s="130"/>
      <c r="Q362" s="130"/>
      <c r="R362" s="130"/>
      <c r="S362" s="130"/>
      <c r="T362" s="130"/>
      <c r="U362" s="130"/>
    </row>
    <row r="363" spans="2:21">
      <c r="B363" s="135"/>
      <c r="C363" s="136"/>
      <c r="D363" s="130"/>
      <c r="E363" s="130"/>
      <c r="F363" s="130"/>
      <c r="G363" s="130"/>
      <c r="H363" s="130"/>
      <c r="I363" s="130"/>
      <c r="J363" s="130"/>
      <c r="K363" s="130"/>
      <c r="L363" s="130"/>
      <c r="M363" s="130"/>
      <c r="N363" s="130"/>
      <c r="O363" s="130"/>
      <c r="P363" s="130"/>
      <c r="Q363" s="130"/>
      <c r="R363" s="130"/>
      <c r="S363" s="130"/>
      <c r="T363" s="130"/>
      <c r="U363" s="130"/>
    </row>
    <row r="364" spans="2:21">
      <c r="B364" s="135" t="s">
        <v>154</v>
      </c>
      <c r="C364" s="136"/>
      <c r="D364" s="130" t="s">
        <v>619</v>
      </c>
      <c r="E364" s="130"/>
      <c r="F364" s="130"/>
      <c r="G364" s="130"/>
      <c r="H364" s="130"/>
      <c r="I364" s="130"/>
      <c r="J364" s="130"/>
      <c r="K364" s="130"/>
      <c r="L364" s="130"/>
      <c r="M364" s="130"/>
      <c r="N364" s="130"/>
      <c r="O364" s="130"/>
      <c r="P364" s="130"/>
      <c r="Q364" s="130"/>
      <c r="R364" s="130"/>
      <c r="S364" s="130"/>
      <c r="T364" s="130"/>
      <c r="U364" s="130"/>
    </row>
    <row r="365" spans="2:21">
      <c r="B365" s="135"/>
      <c r="C365" s="136"/>
      <c r="D365" s="130"/>
      <c r="E365" s="130"/>
      <c r="F365" s="130"/>
      <c r="G365" s="130"/>
      <c r="H365" s="130"/>
      <c r="I365" s="130"/>
      <c r="J365" s="130"/>
      <c r="K365" s="130"/>
      <c r="L365" s="130"/>
      <c r="M365" s="130"/>
      <c r="N365" s="130"/>
      <c r="O365" s="130"/>
      <c r="P365" s="130"/>
      <c r="Q365" s="130"/>
      <c r="R365" s="130"/>
      <c r="S365" s="130"/>
      <c r="T365" s="130"/>
      <c r="U365" s="130"/>
    </row>
    <row r="366" spans="2:21" ht="15.75" customHeight="1">
      <c r="B366" s="287" t="s">
        <v>155</v>
      </c>
      <c r="C366" s="153"/>
      <c r="D366" s="1129" t="str">
        <f>"Long Term Debt cost rate = long-term interest (Ln " &amp; B239 &amp;")/average long term debt (Ln "&amp;B249&amp;").  Preferred Stock cost rate = preferred dividends (Ln "&amp;B240&amp;")/preferred outstanding (ln "&amp;B250&amp;")."</f>
        <v>Long Term Debt cost rate = long-term interest (Ln 128)/average long term debt (Ln 136).  Preferred Stock cost rate = preferred dividends (Ln 129)/preferred outstanding (ln 137).</v>
      </c>
      <c r="E366" s="1129"/>
      <c r="F366" s="1129"/>
      <c r="G366" s="1129"/>
      <c r="H366" s="1129"/>
      <c r="I366" s="1129"/>
      <c r="J366" s="1129"/>
      <c r="M366"/>
      <c r="N366"/>
      <c r="O366" s="130"/>
      <c r="P366" s="130"/>
      <c r="Q366" s="130"/>
      <c r="R366" s="130"/>
      <c r="S366" s="130"/>
      <c r="T366" s="130"/>
      <c r="U366" s="130"/>
    </row>
    <row r="367" spans="2:21" ht="15.75">
      <c r="B367" s="153"/>
      <c r="C367" s="153"/>
      <c r="D367" s="1129" t="s">
        <v>799</v>
      </c>
      <c r="E367" s="1129"/>
      <c r="F367" s="1129"/>
      <c r="G367" s="1129"/>
      <c r="H367" s="1129"/>
      <c r="I367" s="1129"/>
      <c r="J367" s="1129"/>
      <c r="M367"/>
      <c r="N367"/>
      <c r="O367" s="130"/>
      <c r="P367" s="130"/>
      <c r="Q367" s="130"/>
      <c r="R367" s="130"/>
      <c r="S367" s="130"/>
      <c r="T367" s="130"/>
      <c r="U367" s="130"/>
    </row>
    <row r="368" spans="2:21" ht="15.75">
      <c r="B368" s="153"/>
      <c r="C368" s="153"/>
      <c r="D368" s="1129"/>
      <c r="E368" s="1129"/>
      <c r="F368" s="1129"/>
      <c r="G368" s="1129"/>
      <c r="H368" s="1129"/>
      <c r="I368" s="1129"/>
      <c r="J368" s="1129"/>
      <c r="M368"/>
      <c r="N368"/>
      <c r="O368" s="130"/>
      <c r="P368" s="130"/>
      <c r="Q368" s="130"/>
      <c r="R368" s="130"/>
      <c r="S368" s="130"/>
      <c r="T368" s="130"/>
      <c r="U368" s="130"/>
    </row>
    <row r="369" spans="2:21" ht="95.25" customHeight="1">
      <c r="B369" s="153"/>
      <c r="C369" s="153"/>
      <c r="D369" s="1129"/>
      <c r="E369" s="1129"/>
      <c r="F369" s="1129"/>
      <c r="G369" s="1129"/>
      <c r="H369" s="1129"/>
      <c r="I369" s="1129"/>
      <c r="J369" s="1129"/>
      <c r="M369"/>
      <c r="N369"/>
      <c r="O369" s="130"/>
      <c r="P369" s="130"/>
      <c r="Q369" s="130"/>
      <c r="R369" s="130"/>
      <c r="S369" s="130"/>
      <c r="T369" s="130"/>
      <c r="U369" s="130"/>
    </row>
    <row r="370" spans="2:21" ht="0.75" hidden="1" customHeight="1">
      <c r="B370" s="153"/>
      <c r="C370" s="153"/>
      <c r="D370" s="288"/>
      <c r="E370" s="288"/>
      <c r="F370" s="288"/>
      <c r="G370" s="288"/>
      <c r="H370" s="288"/>
      <c r="I370" s="288"/>
      <c r="J370" s="288"/>
      <c r="M370"/>
      <c r="N370"/>
      <c r="O370" s="130"/>
      <c r="P370" s="130"/>
      <c r="Q370" s="130"/>
      <c r="R370" s="130"/>
      <c r="S370" s="130"/>
      <c r="T370" s="130"/>
      <c r="U370" s="130"/>
    </row>
    <row r="371" spans="2:21" ht="54.75" hidden="1" customHeight="1">
      <c r="B371" s="153"/>
      <c r="C371" s="153"/>
      <c r="D371" s="288"/>
      <c r="E371" s="288"/>
      <c r="F371" s="288"/>
      <c r="G371" s="288"/>
      <c r="H371" s="288"/>
      <c r="I371" s="288"/>
      <c r="J371" s="288"/>
      <c r="M371"/>
      <c r="N371"/>
      <c r="O371" s="130"/>
      <c r="P371" s="130"/>
      <c r="Q371" s="130"/>
      <c r="R371" s="130"/>
      <c r="S371" s="130"/>
      <c r="T371" s="130"/>
      <c r="U371" s="130"/>
    </row>
    <row r="372" spans="2:21" ht="16.5" customHeight="1">
      <c r="B372" s="153"/>
      <c r="C372" s="153"/>
      <c r="D372" s="288"/>
      <c r="E372" s="288"/>
      <c r="F372" s="288"/>
      <c r="G372" s="288"/>
      <c r="H372" s="288"/>
      <c r="I372" s="288"/>
      <c r="J372" s="288"/>
      <c r="M372"/>
      <c r="N372"/>
      <c r="O372" s="130"/>
      <c r="P372" s="130"/>
      <c r="Q372" s="130"/>
      <c r="R372" s="130"/>
      <c r="S372" s="130"/>
      <c r="T372" s="130"/>
      <c r="U372" s="130"/>
    </row>
    <row r="373" spans="2:21" ht="98.25" customHeight="1">
      <c r="B373" s="135" t="s">
        <v>201</v>
      </c>
      <c r="C373" s="153"/>
      <c r="D373" s="1116" t="s">
        <v>762</v>
      </c>
      <c r="E373" s="1117"/>
      <c r="F373" s="1117"/>
      <c r="G373" s="1117"/>
      <c r="H373" s="1117"/>
      <c r="I373" s="1117"/>
      <c r="J373" s="1117"/>
      <c r="M373" s="130"/>
      <c r="N373" s="130"/>
      <c r="O373" s="130"/>
      <c r="P373" s="130"/>
      <c r="Q373" s="130"/>
      <c r="R373" s="130"/>
      <c r="S373" s="130"/>
      <c r="T373" s="130"/>
      <c r="U373" s="130"/>
    </row>
    <row r="374" spans="2:21" ht="15.75">
      <c r="B374" s="135"/>
      <c r="C374" s="153"/>
      <c r="D374" s="288"/>
      <c r="E374" s="289"/>
      <c r="F374" s="289"/>
      <c r="G374" s="289"/>
      <c r="H374" s="289"/>
      <c r="I374" s="289"/>
      <c r="J374" s="289"/>
      <c r="M374" s="130"/>
      <c r="N374" s="130"/>
      <c r="O374" s="130"/>
      <c r="P374" s="130"/>
      <c r="Q374" s="130"/>
      <c r="R374" s="130"/>
      <c r="S374" s="130"/>
      <c r="T374" s="130"/>
      <c r="U374" s="130"/>
    </row>
    <row r="375" spans="2:21">
      <c r="B375" s="135" t="s">
        <v>559</v>
      </c>
      <c r="C375" s="290"/>
      <c r="D375" s="1115" t="s">
        <v>605</v>
      </c>
      <c r="E375" s="1115"/>
      <c r="F375" s="1115"/>
      <c r="G375" s="1115"/>
      <c r="H375" s="1115"/>
      <c r="I375" s="1115"/>
      <c r="J375" s="1115"/>
      <c r="K375" s="291"/>
      <c r="M375" s="130"/>
      <c r="N375" s="130"/>
      <c r="O375" s="130"/>
      <c r="P375" s="130"/>
      <c r="Q375" s="130"/>
      <c r="R375" s="130"/>
      <c r="S375" s="130"/>
      <c r="T375" s="130"/>
      <c r="U375" s="130"/>
    </row>
    <row r="376" spans="2:21">
      <c r="B376" s="135"/>
      <c r="C376" s="136"/>
      <c r="D376" s="125" t="s">
        <v>414</v>
      </c>
      <c r="M376" s="130"/>
      <c r="N376" s="130"/>
      <c r="O376" s="130"/>
      <c r="P376" s="130"/>
      <c r="Q376" s="130"/>
      <c r="R376" s="130"/>
      <c r="S376" s="130"/>
      <c r="T376" s="130"/>
      <c r="U376" s="130"/>
    </row>
    <row r="377" spans="2:21">
      <c r="B377" s="135" t="s">
        <v>606</v>
      </c>
      <c r="C377" s="136"/>
      <c r="D377" s="125" t="s">
        <v>607</v>
      </c>
      <c r="M377" s="130"/>
      <c r="N377" s="130"/>
      <c r="O377" s="130"/>
      <c r="P377" s="130"/>
      <c r="Q377" s="130"/>
      <c r="R377" s="130"/>
      <c r="S377" s="130"/>
      <c r="T377" s="130"/>
      <c r="U377" s="130"/>
    </row>
    <row r="378" spans="2:21">
      <c r="B378" s="135"/>
      <c r="C378" s="136"/>
      <c r="M378" s="130"/>
      <c r="N378" s="130"/>
      <c r="O378" s="130"/>
      <c r="P378" s="130"/>
      <c r="Q378" s="130"/>
      <c r="R378" s="130"/>
      <c r="S378" s="130"/>
      <c r="T378" s="130"/>
      <c r="U378" s="130"/>
    </row>
    <row r="379" spans="2:21" ht="30" customHeight="1">
      <c r="B379" s="135" t="s">
        <v>608</v>
      </c>
      <c r="C379" s="136"/>
      <c r="D379" s="1115" t="s">
        <v>609</v>
      </c>
      <c r="E379" s="1115"/>
      <c r="F379" s="1115"/>
      <c r="G379" s="1115"/>
      <c r="H379" s="1115"/>
      <c r="I379" s="1115"/>
      <c r="J379" s="1115"/>
      <c r="K379" s="1115"/>
      <c r="M379" s="130"/>
      <c r="N379" s="130"/>
      <c r="O379" s="130"/>
      <c r="P379" s="130"/>
      <c r="Q379" s="130"/>
      <c r="R379" s="130"/>
      <c r="S379" s="130"/>
      <c r="T379" s="130"/>
      <c r="U379" s="130"/>
    </row>
    <row r="380" spans="2:21">
      <c r="B380"/>
      <c r="C380"/>
      <c r="D380"/>
      <c r="E380"/>
      <c r="F380"/>
      <c r="G380"/>
      <c r="H380"/>
      <c r="M380" s="130"/>
      <c r="N380" s="130"/>
      <c r="O380" s="130"/>
      <c r="P380" s="130"/>
      <c r="Q380" s="130"/>
      <c r="R380" s="130"/>
      <c r="S380" s="130"/>
      <c r="T380" s="130"/>
      <c r="U380" s="130"/>
    </row>
    <row r="381" spans="2:21" ht="46.5" customHeight="1">
      <c r="B381" s="1" t="s">
        <v>610</v>
      </c>
      <c r="C381"/>
      <c r="D381" s="1115" t="s">
        <v>614</v>
      </c>
      <c r="E381" s="1115"/>
      <c r="F381" s="1115"/>
      <c r="G381" s="1115"/>
      <c r="H381" s="1115"/>
      <c r="I381" s="1115"/>
      <c r="J381" s="1115"/>
      <c r="K381" s="1115"/>
      <c r="M381" s="130"/>
      <c r="N381" s="130"/>
      <c r="O381" s="130"/>
      <c r="P381" s="130"/>
      <c r="Q381" s="130"/>
      <c r="R381" s="130"/>
      <c r="S381" s="130"/>
      <c r="T381" s="130"/>
      <c r="U381" s="130"/>
    </row>
    <row r="382" spans="2:21">
      <c r="B382" s="1"/>
      <c r="C382"/>
      <c r="D382" s="1073"/>
      <c r="E382" s="1073"/>
      <c r="F382" s="1073"/>
      <c r="G382" s="1073"/>
      <c r="H382" s="1073"/>
      <c r="I382" s="1073"/>
      <c r="J382" s="1073"/>
      <c r="K382" s="1073"/>
      <c r="M382" s="130"/>
      <c r="N382" s="130"/>
      <c r="O382" s="130"/>
      <c r="P382" s="130"/>
      <c r="Q382" s="130"/>
      <c r="R382" s="130"/>
      <c r="S382" s="130"/>
      <c r="T382" s="130"/>
      <c r="U382" s="130"/>
    </row>
    <row r="383" spans="2:21">
      <c r="B383" s="869" t="s">
        <v>643</v>
      </c>
      <c r="C383" s="870"/>
      <c r="D383" s="871" t="s">
        <v>644</v>
      </c>
      <c r="E383" s="707"/>
      <c r="F383" s="707"/>
      <c r="G383" s="707"/>
      <c r="H383" s="707"/>
      <c r="M383" s="130"/>
      <c r="N383" s="130"/>
      <c r="O383" s="130"/>
      <c r="P383" s="130"/>
      <c r="Q383" s="130"/>
      <c r="R383" s="130"/>
      <c r="S383" s="130"/>
      <c r="T383" s="130"/>
      <c r="U383" s="130"/>
    </row>
    <row r="384" spans="2:21">
      <c r="B384" s="869"/>
      <c r="C384" s="870"/>
      <c r="D384" s="871"/>
      <c r="E384" s="707"/>
      <c r="F384" s="707"/>
      <c r="G384" s="707"/>
      <c r="H384" s="707"/>
      <c r="M384" s="130"/>
      <c r="N384" s="130"/>
      <c r="O384" s="130"/>
      <c r="P384" s="130"/>
      <c r="Q384" s="130"/>
      <c r="R384" s="130"/>
      <c r="S384" s="130"/>
      <c r="T384" s="130"/>
      <c r="U384" s="130"/>
    </row>
    <row r="385" spans="2:21">
      <c r="B385" s="17" t="s">
        <v>818</v>
      </c>
      <c r="C385"/>
      <c r="D385" s="1114" t="s">
        <v>819</v>
      </c>
      <c r="E385" s="1114"/>
      <c r="F385" s="1114"/>
      <c r="G385" s="1114"/>
      <c r="H385" s="1114"/>
      <c r="I385" s="1114"/>
      <c r="J385" s="1114"/>
      <c r="K385" s="1114"/>
      <c r="M385" s="130"/>
      <c r="N385" s="130"/>
      <c r="O385" s="130"/>
      <c r="P385" s="130"/>
      <c r="Q385" s="130"/>
      <c r="R385" s="130"/>
      <c r="S385" s="130"/>
      <c r="T385" s="130"/>
      <c r="U385" s="130"/>
    </row>
    <row r="386" spans="2:21">
      <c r="B386"/>
      <c r="C386"/>
      <c r="D386" s="1114"/>
      <c r="E386" s="1114"/>
      <c r="F386" s="1114"/>
      <c r="G386" s="1114"/>
      <c r="H386" s="1114"/>
      <c r="I386" s="1114"/>
      <c r="J386" s="1114"/>
      <c r="K386" s="1114"/>
      <c r="M386" s="130"/>
      <c r="N386" s="130"/>
      <c r="O386" s="130"/>
      <c r="P386" s="130"/>
      <c r="Q386" s="130"/>
      <c r="R386" s="130"/>
      <c r="S386" s="130"/>
      <c r="T386" s="130"/>
      <c r="U386" s="130"/>
    </row>
    <row r="387" spans="2:21">
      <c r="B387" s="125"/>
      <c r="M387" s="130"/>
      <c r="N387" s="130"/>
      <c r="O387" s="130"/>
      <c r="P387" s="130"/>
      <c r="Q387" s="130"/>
      <c r="R387" s="130"/>
      <c r="S387" s="130"/>
      <c r="T387" s="130"/>
      <c r="U387" s="130"/>
    </row>
    <row r="388" spans="2:21">
      <c r="B388" s="278"/>
      <c r="M388" s="130"/>
      <c r="N388" s="130"/>
      <c r="O388" s="130"/>
      <c r="P388" s="130"/>
      <c r="Q388" s="130"/>
      <c r="R388" s="130"/>
      <c r="S388" s="130"/>
      <c r="T388" s="130"/>
      <c r="U388" s="130"/>
    </row>
    <row r="389" spans="2:21">
      <c r="H389" s="130"/>
      <c r="I389" s="130"/>
      <c r="J389" s="130"/>
      <c r="K389" s="130"/>
      <c r="L389" s="130"/>
      <c r="M389" s="130"/>
      <c r="N389" s="130"/>
      <c r="O389" s="130"/>
      <c r="P389" s="130"/>
      <c r="Q389" s="130"/>
      <c r="R389" s="130"/>
      <c r="S389" s="130"/>
      <c r="T389" s="130"/>
      <c r="U389" s="130"/>
    </row>
    <row r="390" spans="2:21">
      <c r="B390" s="278"/>
      <c r="H390" s="130"/>
      <c r="K390" s="130"/>
      <c r="L390" s="130"/>
      <c r="M390" s="130"/>
      <c r="N390" s="130"/>
      <c r="O390" s="130"/>
      <c r="P390" s="130"/>
      <c r="Q390" s="130"/>
      <c r="R390" s="130"/>
      <c r="S390" s="130"/>
      <c r="T390" s="130"/>
      <c r="U390" s="130"/>
    </row>
  </sheetData>
  <mergeCells count="23">
    <mergeCell ref="G265:H265"/>
    <mergeCell ref="G247:H247"/>
    <mergeCell ref="D297:K298"/>
    <mergeCell ref="D366:J366"/>
    <mergeCell ref="B21:I22"/>
    <mergeCell ref="I57:J57"/>
    <mergeCell ref="I60:J60"/>
    <mergeCell ref="I127:J127"/>
    <mergeCell ref="I130:J130"/>
    <mergeCell ref="D39:L39"/>
    <mergeCell ref="D385:K386"/>
    <mergeCell ref="D381:K381"/>
    <mergeCell ref="D373:J373"/>
    <mergeCell ref="D321:K323"/>
    <mergeCell ref="D338:K338"/>
    <mergeCell ref="D325:K327"/>
    <mergeCell ref="D375:J375"/>
    <mergeCell ref="D328:J329"/>
    <mergeCell ref="D345:L347"/>
    <mergeCell ref="D334:J336"/>
    <mergeCell ref="D379:K379"/>
    <mergeCell ref="D359:J359"/>
    <mergeCell ref="D367:J369"/>
  </mergeCells>
  <phoneticPr fontId="0" type="noConversion"/>
  <pageMargins left="0.26" right="1.28" top="1" bottom="1" header="0.86" footer="0.5"/>
  <pageSetup scale="32" fitToHeight="5" orientation="portrait" r:id="rId1"/>
  <headerFooter alignWithMargins="0">
    <oddHeader>&amp;R&amp;"Arial,Bold"Formula Rate 
&amp;A
Page &amp;P of &amp;N</oddHeader>
  </headerFooter>
  <rowBreaks count="4" manualBreakCount="4">
    <brk id="48" max="11" man="1"/>
    <brk id="119" max="11" man="1"/>
    <brk id="200" max="11" man="1"/>
    <brk id="271" max="1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V151"/>
  <sheetViews>
    <sheetView topLeftCell="A10" zoomScaleNormal="100" workbookViewId="0">
      <selection activeCell="K18" sqref="K18"/>
    </sheetView>
  </sheetViews>
  <sheetFormatPr defaultRowHeight="15"/>
  <cols>
    <col min="1" max="1" width="9.42578125" style="365" customWidth="1"/>
    <col min="2" max="2" width="6.7109375" style="365" customWidth="1"/>
    <col min="3" max="7" width="12.7109375" style="365" customWidth="1"/>
    <col min="8" max="8" width="19.28515625" style="365" customWidth="1"/>
    <col min="9" max="9" width="15" style="365" bestFit="1" customWidth="1"/>
    <col min="10" max="11" width="16.5703125" style="365" bestFit="1" customWidth="1"/>
    <col min="12" max="13" width="22.140625" style="365" bestFit="1" customWidth="1"/>
    <col min="14" max="14" width="8.42578125" style="365" customWidth="1"/>
    <col min="15" max="38" width="12.7109375" style="365" customWidth="1"/>
    <col min="39" max="16384" width="9.140625" style="365"/>
  </cols>
  <sheetData>
    <row r="1" spans="1:22" ht="15.75">
      <c r="A1" s="696"/>
    </row>
    <row r="2" spans="1:22" ht="15.75">
      <c r="A2" s="696"/>
    </row>
    <row r="3" spans="1:22">
      <c r="A3" s="1141" t="str">
        <f>TCOS!$F$5</f>
        <v>AEPTCo subsidiaries in PJM</v>
      </c>
      <c r="B3" s="1141" t="str">
        <f>TCOS!$F$5</f>
        <v>AEPTCo subsidiaries in PJM</v>
      </c>
      <c r="C3" s="1141" t="str">
        <f>TCOS!$F$5</f>
        <v>AEPTCo subsidiaries in PJM</v>
      </c>
      <c r="D3" s="1141" t="str">
        <f>TCOS!$F$5</f>
        <v>AEPTCo subsidiaries in PJM</v>
      </c>
      <c r="E3" s="1141" t="str">
        <f>TCOS!$F$5</f>
        <v>AEPTCo subsidiaries in PJM</v>
      </c>
      <c r="F3" s="1141" t="str">
        <f>TCOS!$F$5</f>
        <v>AEPTCo subsidiaries in PJM</v>
      </c>
      <c r="G3" s="1141" t="str">
        <f>TCOS!$F$5</f>
        <v>AEPTCo subsidiaries in PJM</v>
      </c>
      <c r="H3" s="1141" t="str">
        <f>TCOS!$F$5</f>
        <v>AEPTCo subsidiaries in PJM</v>
      </c>
      <c r="I3" s="1141" t="str">
        <f>TCOS!$F$5</f>
        <v>AEPTCo subsidiaries in PJM</v>
      </c>
      <c r="J3" s="1141" t="str">
        <f>TCOS!$F$5</f>
        <v>AEPTCo subsidiaries in PJM</v>
      </c>
      <c r="K3" s="1141" t="str">
        <f>TCOS!$F$5</f>
        <v>AEPTCo subsidiaries in PJM</v>
      </c>
      <c r="L3" s="17"/>
      <c r="M3" s="17"/>
      <c r="N3" s="17"/>
      <c r="O3" s="17"/>
    </row>
    <row r="4" spans="1:22">
      <c r="A4" s="1142" t="str">
        <f>"Cost of Service Formula Rate Using Actual/Projected FF1 Balances"</f>
        <v>Cost of Service Formula Rate Using Actual/Projected FF1 Balances</v>
      </c>
      <c r="B4" s="1142"/>
      <c r="C4" s="1142"/>
      <c r="D4" s="1142"/>
      <c r="E4" s="1142"/>
      <c r="F4" s="1142"/>
      <c r="G4" s="1142"/>
      <c r="H4" s="1142"/>
      <c r="I4" s="1142"/>
      <c r="J4" s="1142"/>
      <c r="K4" s="1142"/>
      <c r="L4" s="45"/>
      <c r="M4" s="45"/>
      <c r="N4" s="45"/>
      <c r="O4" s="45"/>
    </row>
    <row r="5" spans="1:22">
      <c r="A5" s="1142" t="s">
        <v>22</v>
      </c>
      <c r="B5" s="1142"/>
      <c r="C5" s="1142"/>
      <c r="D5" s="1142"/>
      <c r="E5" s="1142"/>
      <c r="F5" s="1142"/>
      <c r="G5" s="1142"/>
      <c r="H5" s="1142"/>
      <c r="I5" s="1142"/>
      <c r="J5" s="1142"/>
      <c r="K5" s="1142"/>
      <c r="L5" s="44"/>
      <c r="M5" s="44"/>
      <c r="N5" s="44"/>
      <c r="O5" s="44"/>
    </row>
    <row r="6" spans="1:22">
      <c r="A6" s="1152" t="str">
        <f>TCOS!F9</f>
        <v>AEP Kentucky Transmission Company</v>
      </c>
      <c r="B6" s="1152"/>
      <c r="C6" s="1152"/>
      <c r="D6" s="1152"/>
      <c r="E6" s="1152"/>
      <c r="F6" s="1152"/>
      <c r="G6" s="1152"/>
      <c r="H6" s="1152"/>
      <c r="I6" s="1152"/>
      <c r="J6" s="1152"/>
      <c r="K6" s="1152"/>
      <c r="L6" s="2"/>
      <c r="M6" s="2"/>
      <c r="N6" s="2"/>
      <c r="O6" s="2"/>
    </row>
    <row r="8" spans="1:22" ht="18">
      <c r="A8" s="1177"/>
      <c r="B8" s="1177"/>
      <c r="C8" s="1177"/>
      <c r="D8" s="1177"/>
      <c r="E8" s="1177"/>
      <c r="F8" s="1177"/>
      <c r="G8" s="1177"/>
      <c r="H8" s="1177"/>
      <c r="I8" s="1177"/>
      <c r="J8" s="1177"/>
      <c r="K8" s="1177"/>
      <c r="L8" s="366"/>
      <c r="M8" s="367"/>
    </row>
    <row r="9" spans="1:22" ht="18">
      <c r="A9" s="67"/>
      <c r="B9" s="67"/>
      <c r="C9" s="67"/>
      <c r="D9" s="67"/>
      <c r="E9" s="67"/>
      <c r="F9" s="67"/>
      <c r="G9" s="67"/>
      <c r="H9" s="67"/>
      <c r="I9" s="67"/>
      <c r="J9" s="67"/>
      <c r="K9" s="67"/>
      <c r="L9" s="366"/>
      <c r="M9" s="367"/>
    </row>
    <row r="10" spans="1:22" ht="15.75">
      <c r="A10" s="368" t="s">
        <v>467</v>
      </c>
      <c r="B10" s="366"/>
      <c r="C10" s="16"/>
      <c r="D10" s="16"/>
      <c r="E10" s="16"/>
      <c r="F10" s="16"/>
      <c r="G10" s="369"/>
      <c r="H10" s="369"/>
      <c r="I10" s="368" t="s">
        <v>480</v>
      </c>
      <c r="J10" s="368" t="s">
        <v>363</v>
      </c>
      <c r="K10" s="370"/>
      <c r="N10" s="371"/>
      <c r="P10" s="371"/>
      <c r="R10" s="371"/>
      <c r="S10" s="371"/>
      <c r="T10" s="371"/>
      <c r="U10" s="131"/>
      <c r="V10" s="131"/>
    </row>
    <row r="11" spans="1:22" ht="15.75">
      <c r="A11" s="368" t="s">
        <v>405</v>
      </c>
      <c r="B11" s="1178" t="s">
        <v>465</v>
      </c>
      <c r="C11" s="1178"/>
      <c r="D11" s="1178"/>
      <c r="E11" s="1178"/>
      <c r="F11" s="1178"/>
      <c r="G11" s="1178"/>
      <c r="H11" s="1178"/>
      <c r="I11" s="368" t="s">
        <v>481</v>
      </c>
      <c r="J11" s="368" t="s">
        <v>415</v>
      </c>
      <c r="K11" s="368" t="s">
        <v>415</v>
      </c>
      <c r="N11" s="371"/>
      <c r="O11" s="371"/>
      <c r="P11" s="371"/>
      <c r="Q11" s="371"/>
      <c r="R11" s="371"/>
      <c r="S11" s="371"/>
      <c r="T11" s="372"/>
      <c r="U11" s="131"/>
      <c r="V11" s="131"/>
    </row>
    <row r="12" spans="1:22" ht="15.75">
      <c r="A12" s="369"/>
      <c r="B12" s="373"/>
      <c r="C12" s="366"/>
      <c r="D12" s="369"/>
      <c r="E12" s="369"/>
      <c r="F12" s="369"/>
      <c r="G12" s="369"/>
      <c r="H12" s="369"/>
      <c r="I12" s="369"/>
      <c r="J12" s="369"/>
      <c r="K12" s="374"/>
      <c r="N12" s="371"/>
      <c r="O12" s="371"/>
      <c r="P12" s="371"/>
      <c r="Q12" s="371"/>
      <c r="R12" s="371"/>
      <c r="S12" s="371"/>
      <c r="T12" s="372"/>
      <c r="U12" s="131"/>
      <c r="V12" s="131"/>
    </row>
    <row r="13" spans="1:22" s="377" customFormat="1" ht="12.75">
      <c r="A13" s="375">
        <v>1</v>
      </c>
      <c r="B13" s="376" t="s">
        <v>9</v>
      </c>
      <c r="D13" s="378"/>
      <c r="E13" s="378"/>
      <c r="F13" s="379"/>
      <c r="G13" s="378"/>
      <c r="H13" s="378"/>
      <c r="I13" s="391">
        <v>0</v>
      </c>
      <c r="J13" s="380">
        <f>+I13-K13</f>
        <v>0</v>
      </c>
      <c r="K13" s="391">
        <v>0</v>
      </c>
      <c r="N13" s="3"/>
      <c r="O13" s="3"/>
      <c r="P13" s="3"/>
      <c r="Q13" s="3"/>
      <c r="R13" s="3"/>
      <c r="S13" s="3"/>
      <c r="T13" s="47"/>
      <c r="U13" s="3"/>
      <c r="V13" s="3"/>
    </row>
    <row r="14" spans="1:22" s="377" customFormat="1" ht="12.75">
      <c r="A14" s="375"/>
      <c r="B14" s="376"/>
      <c r="D14" s="378"/>
      <c r="E14" s="378"/>
      <c r="F14" s="379"/>
      <c r="G14" s="378"/>
      <c r="H14" s="378"/>
      <c r="I14" s="381"/>
      <c r="J14" s="379"/>
      <c r="K14" s="379"/>
      <c r="N14" s="3"/>
      <c r="O14" s="3"/>
      <c r="P14" s="3"/>
      <c r="Q14" s="3"/>
      <c r="R14" s="3"/>
      <c r="S14" s="3"/>
      <c r="T14" s="47"/>
      <c r="U14" s="3"/>
      <c r="V14" s="3"/>
    </row>
    <row r="15" spans="1:22" s="377" customFormat="1" ht="12.75">
      <c r="A15" s="375">
        <f>+A13+1</f>
        <v>2</v>
      </c>
      <c r="B15" s="376" t="s">
        <v>10</v>
      </c>
      <c r="D15" s="378"/>
      <c r="E15" s="378"/>
      <c r="F15" s="379"/>
      <c r="G15" s="378"/>
      <c r="H15" s="379"/>
      <c r="I15" s="391">
        <v>0</v>
      </c>
      <c r="J15" s="380">
        <f>+I15-K15</f>
        <v>0</v>
      </c>
      <c r="K15" s="391">
        <v>0</v>
      </c>
      <c r="N15" s="3"/>
      <c r="O15" s="3"/>
      <c r="P15" s="3"/>
      <c r="Q15" s="3"/>
      <c r="R15" s="3"/>
      <c r="S15" s="3"/>
      <c r="T15" s="3"/>
      <c r="U15" s="3"/>
      <c r="V15" s="3"/>
    </row>
    <row r="16" spans="1:22" s="377" customFormat="1" ht="12.75">
      <c r="A16" s="375"/>
      <c r="B16" s="376"/>
      <c r="D16" s="378"/>
      <c r="E16" s="378"/>
      <c r="F16" s="379"/>
      <c r="G16" s="378"/>
      <c r="H16" s="379"/>
      <c r="I16" s="379"/>
      <c r="J16" s="379"/>
      <c r="K16" s="382"/>
      <c r="N16" s="3"/>
      <c r="O16" s="3"/>
      <c r="P16" s="3"/>
      <c r="Q16" s="3"/>
      <c r="R16" s="3"/>
      <c r="S16" s="3"/>
      <c r="T16" s="3"/>
      <c r="U16" s="3"/>
      <c r="V16" s="3"/>
    </row>
    <row r="17" spans="1:22" s="377" customFormat="1" ht="12.75">
      <c r="A17" s="375">
        <f>+A15+1</f>
        <v>3</v>
      </c>
      <c r="B17" s="376" t="s">
        <v>11</v>
      </c>
      <c r="D17" s="378"/>
      <c r="E17" s="378"/>
      <c r="F17" s="379"/>
      <c r="G17" s="378"/>
      <c r="H17" s="378"/>
      <c r="I17" s="391">
        <v>416940.73199999979</v>
      </c>
      <c r="J17" s="380">
        <f>+I17-K17</f>
        <v>0</v>
      </c>
      <c r="K17" s="391">
        <f>I17</f>
        <v>416940.73199999979</v>
      </c>
      <c r="N17" s="3"/>
      <c r="O17" s="3"/>
      <c r="P17" s="3"/>
      <c r="Q17" s="3"/>
      <c r="R17" s="3"/>
      <c r="S17" s="3"/>
      <c r="T17" s="3"/>
      <c r="U17" s="3"/>
      <c r="V17" s="3"/>
    </row>
    <row r="18" spans="1:22" s="377" customFormat="1" ht="12.75">
      <c r="A18" s="375"/>
      <c r="B18" s="379"/>
      <c r="D18" s="378"/>
      <c r="E18" s="378"/>
      <c r="F18" s="379"/>
      <c r="G18" s="382"/>
      <c r="H18" s="379"/>
      <c r="I18" s="379"/>
      <c r="J18" s="379"/>
      <c r="K18" s="379"/>
      <c r="N18" s="3"/>
      <c r="O18" s="3"/>
      <c r="P18" s="3"/>
      <c r="Q18" s="3"/>
      <c r="R18" s="3"/>
      <c r="S18" s="3"/>
      <c r="T18" s="3"/>
      <c r="U18" s="3"/>
      <c r="V18" s="3"/>
    </row>
    <row r="19" spans="1:22" s="377" customFormat="1" ht="12.75">
      <c r="A19" s="692">
        <v>4</v>
      </c>
      <c r="B19" s="876" t="s">
        <v>767</v>
      </c>
      <c r="C19" s="3"/>
      <c r="D19" s="877"/>
      <c r="E19" s="877"/>
      <c r="F19" s="877"/>
      <c r="G19" s="693"/>
      <c r="H19" s="877"/>
      <c r="I19" s="391">
        <v>0</v>
      </c>
      <c r="J19" s="380">
        <f>+I19-K19</f>
        <v>0</v>
      </c>
      <c r="K19" s="391">
        <v>0</v>
      </c>
      <c r="N19" s="384"/>
      <c r="O19" s="3"/>
      <c r="P19" s="3"/>
      <c r="Q19" s="3"/>
      <c r="R19" s="3"/>
      <c r="S19" s="3"/>
      <c r="T19" s="3"/>
      <c r="U19" s="3"/>
      <c r="V19" s="3"/>
    </row>
    <row r="20" spans="1:22" s="377" customFormat="1" ht="12.75">
      <c r="A20" s="692"/>
      <c r="B20" s="876"/>
      <c r="C20" s="3"/>
      <c r="D20" s="877"/>
      <c r="E20" s="877"/>
      <c r="F20" s="877"/>
      <c r="G20" s="693"/>
      <c r="H20" s="877"/>
      <c r="I20" s="3"/>
      <c r="J20" s="3"/>
      <c r="K20" s="3"/>
      <c r="L20" s="3"/>
      <c r="N20" s="384"/>
      <c r="O20" s="3"/>
      <c r="P20" s="3"/>
      <c r="Q20" s="3"/>
      <c r="R20" s="3"/>
      <c r="S20" s="3"/>
      <c r="T20" s="3"/>
      <c r="U20" s="3"/>
      <c r="V20" s="3"/>
    </row>
    <row r="21" spans="1:22" s="377" customFormat="1" ht="12.75">
      <c r="A21" s="692">
        <v>5</v>
      </c>
      <c r="B21" s="876" t="s">
        <v>768</v>
      </c>
      <c r="C21" s="3"/>
      <c r="D21" s="877"/>
      <c r="E21" s="877"/>
      <c r="F21" s="877"/>
      <c r="G21" s="693"/>
      <c r="H21" s="877"/>
      <c r="I21" s="391">
        <v>20013508.643032998</v>
      </c>
      <c r="J21" s="380">
        <f>+I21-K21</f>
        <v>20013508.643032998</v>
      </c>
      <c r="K21" s="391">
        <v>0</v>
      </c>
      <c r="N21" s="384"/>
      <c r="O21" s="3"/>
      <c r="P21" s="3"/>
      <c r="Q21" s="3"/>
      <c r="R21" s="3"/>
      <c r="S21" s="3"/>
      <c r="T21" s="3"/>
      <c r="U21" s="3"/>
      <c r="V21" s="3"/>
    </row>
    <row r="22" spans="1:22" s="377" customFormat="1" ht="12.75">
      <c r="A22" s="692"/>
      <c r="B22" s="876"/>
      <c r="C22" s="3"/>
      <c r="D22" s="877"/>
      <c r="E22" s="877"/>
      <c r="F22" s="877"/>
      <c r="G22" s="693"/>
      <c r="H22" s="877"/>
      <c r="I22" s="391"/>
      <c r="J22" s="380"/>
      <c r="K22" s="391"/>
      <c r="N22" s="384"/>
      <c r="O22" s="3"/>
      <c r="P22" s="3"/>
      <c r="Q22" s="3"/>
      <c r="R22" s="3"/>
      <c r="S22" s="3"/>
      <c r="T22" s="3"/>
      <c r="U22" s="3"/>
      <c r="V22" s="3"/>
    </row>
    <row r="23" spans="1:22" s="377" customFormat="1" ht="12.75">
      <c r="A23" s="692" t="s">
        <v>627</v>
      </c>
      <c r="B23" s="876" t="s">
        <v>628</v>
      </c>
      <c r="C23" s="3"/>
      <c r="D23" s="877"/>
      <c r="E23" s="877"/>
      <c r="F23" s="877"/>
      <c r="G23" s="693"/>
      <c r="H23" s="877"/>
      <c r="I23" s="694"/>
      <c r="J23" s="695">
        <v>0</v>
      </c>
      <c r="K23" s="694"/>
      <c r="N23" s="384"/>
      <c r="O23" s="3"/>
      <c r="P23" s="3"/>
      <c r="Q23" s="3"/>
      <c r="R23" s="3"/>
      <c r="S23" s="3"/>
      <c r="T23" s="3"/>
      <c r="U23" s="3"/>
      <c r="V23" s="3"/>
    </row>
    <row r="24" spans="1:22" s="377" customFormat="1" ht="12.75">
      <c r="A24" s="692"/>
      <c r="B24" s="876"/>
      <c r="C24" s="3"/>
      <c r="D24" s="877"/>
      <c r="E24" s="877"/>
      <c r="F24" s="877"/>
      <c r="G24" s="693"/>
      <c r="H24" s="877"/>
      <c r="I24" s="694"/>
      <c r="J24" s="695"/>
      <c r="K24" s="694"/>
      <c r="N24" s="384"/>
      <c r="O24" s="3"/>
      <c r="P24" s="3"/>
      <c r="Q24" s="3"/>
      <c r="R24" s="3"/>
      <c r="S24" s="3"/>
      <c r="T24" s="3"/>
      <c r="U24" s="3"/>
      <c r="V24" s="3"/>
    </row>
    <row r="25" spans="1:22" s="377" customFormat="1" ht="12.75">
      <c r="A25" s="692" t="s">
        <v>629</v>
      </c>
      <c r="B25" s="876" t="s">
        <v>630</v>
      </c>
      <c r="C25" s="3"/>
      <c r="D25" s="877"/>
      <c r="E25" s="877"/>
      <c r="F25" s="877"/>
      <c r="G25" s="693"/>
      <c r="H25" s="877"/>
      <c r="I25" s="694"/>
      <c r="J25" s="695">
        <v>0</v>
      </c>
      <c r="K25" s="694"/>
      <c r="N25" s="384"/>
      <c r="O25" s="3"/>
      <c r="P25" s="3"/>
      <c r="Q25" s="3"/>
      <c r="R25" s="3"/>
      <c r="S25" s="3"/>
      <c r="T25" s="3"/>
      <c r="U25" s="3"/>
      <c r="V25" s="3"/>
    </row>
    <row r="26" spans="1:22" s="377" customFormat="1" ht="12.75">
      <c r="A26" s="375"/>
      <c r="B26" s="383"/>
      <c r="D26" s="378"/>
      <c r="E26" s="378"/>
      <c r="F26" s="379"/>
      <c r="G26" s="382"/>
      <c r="H26" s="379"/>
      <c r="I26" s="3"/>
      <c r="J26" s="3"/>
      <c r="K26" s="3"/>
      <c r="N26" s="3"/>
      <c r="O26" s="3"/>
      <c r="P26" s="3"/>
      <c r="Q26" s="3"/>
      <c r="R26" s="3"/>
      <c r="S26" s="3"/>
      <c r="T26" s="3"/>
      <c r="U26" s="3"/>
      <c r="V26" s="3"/>
    </row>
    <row r="27" spans="1:22" s="377" customFormat="1" ht="12.75">
      <c r="A27" s="375">
        <f>+A21+1</f>
        <v>6</v>
      </c>
      <c r="B27" s="383" t="s">
        <v>335</v>
      </c>
      <c r="D27" s="378"/>
      <c r="E27" s="378"/>
      <c r="F27" s="379"/>
      <c r="G27" s="382"/>
      <c r="H27" s="379"/>
      <c r="I27" s="385">
        <f>+I21+I19+I17+I15+I13+I23+I25</f>
        <v>20430449.375032999</v>
      </c>
      <c r="J27" s="385">
        <f>+J21+J19+J17+J15+J13+J23+J25</f>
        <v>20013508.643032998</v>
      </c>
      <c r="K27" s="385">
        <f>+K21+K19+K17+K15+K13+K23+K25</f>
        <v>416940.73199999979</v>
      </c>
      <c r="N27" s="3"/>
      <c r="O27" s="3"/>
      <c r="P27" s="3"/>
      <c r="Q27" s="3"/>
      <c r="R27" s="3"/>
      <c r="S27" s="3"/>
      <c r="T27" s="3"/>
      <c r="U27" s="3"/>
      <c r="V27" s="3"/>
    </row>
    <row r="28" spans="1:22" s="377" customFormat="1" ht="12.75">
      <c r="A28" s="375"/>
      <c r="B28" s="383"/>
      <c r="D28" s="378"/>
      <c r="E28" s="378"/>
      <c r="F28" s="379"/>
      <c r="G28" s="382"/>
      <c r="H28" s="379"/>
      <c r="I28" s="3"/>
      <c r="J28" s="3"/>
      <c r="K28" s="3"/>
      <c r="N28" s="3"/>
      <c r="O28" s="3"/>
      <c r="P28" s="3"/>
      <c r="Q28" s="3"/>
      <c r="R28" s="3"/>
      <c r="S28" s="3"/>
      <c r="T28" s="3"/>
      <c r="U28" s="3"/>
      <c r="V28" s="3"/>
    </row>
    <row r="29" spans="1:22" s="377" customFormat="1" ht="12.75">
      <c r="A29" s="375">
        <f>+A27+1</f>
        <v>7</v>
      </c>
      <c r="B29" s="1176" t="s">
        <v>12</v>
      </c>
      <c r="C29" s="1126"/>
      <c r="D29" s="1126"/>
      <c r="E29" s="1126"/>
      <c r="F29" s="1126"/>
      <c r="G29" s="1126"/>
      <c r="H29" s="379"/>
      <c r="I29" s="391"/>
      <c r="J29" s="380">
        <f>+I29-K29</f>
        <v>0</v>
      </c>
      <c r="K29" s="391"/>
      <c r="N29" s="3"/>
      <c r="O29" s="3"/>
      <c r="P29" s="3"/>
      <c r="Q29" s="3"/>
      <c r="R29" s="3"/>
      <c r="S29" s="3"/>
      <c r="T29" s="3"/>
      <c r="U29" s="3"/>
      <c r="V29" s="3"/>
    </row>
    <row r="30" spans="1:22" s="377" customFormat="1" ht="12.75">
      <c r="A30" s="375"/>
      <c r="B30" s="1126"/>
      <c r="C30" s="1126"/>
      <c r="D30" s="1126"/>
      <c r="E30" s="1126"/>
      <c r="F30" s="1126"/>
      <c r="G30" s="1126"/>
      <c r="H30" s="379"/>
      <c r="I30" s="380"/>
      <c r="J30" s="379"/>
      <c r="K30" s="380"/>
      <c r="N30" s="3"/>
      <c r="O30" s="3"/>
      <c r="P30" s="3"/>
      <c r="Q30" s="3"/>
      <c r="R30" s="3"/>
      <c r="S30" s="3"/>
      <c r="T30" s="3"/>
      <c r="U30" s="3"/>
      <c r="V30" s="3"/>
    </row>
    <row r="31" spans="1:22" s="377" customFormat="1" ht="12.75">
      <c r="A31" s="375">
        <f>+A29+1</f>
        <v>8</v>
      </c>
      <c r="B31" s="383" t="s">
        <v>505</v>
      </c>
      <c r="D31" s="378"/>
      <c r="E31" s="378"/>
      <c r="F31" s="379"/>
      <c r="G31" s="382"/>
      <c r="H31" s="379"/>
      <c r="I31" s="386">
        <f>+I27+I29</f>
        <v>20430449.375032999</v>
      </c>
      <c r="J31" s="386">
        <f>+J27+J29</f>
        <v>20013508.643032998</v>
      </c>
      <c r="K31" s="386">
        <f>+K27+K29</f>
        <v>416940.73199999979</v>
      </c>
      <c r="N31" s="3"/>
      <c r="O31" s="3"/>
      <c r="P31" s="3"/>
      <c r="Q31" s="3"/>
      <c r="R31" s="3"/>
      <c r="S31" s="3"/>
      <c r="T31" s="3"/>
      <c r="U31" s="3"/>
      <c r="V31" s="3"/>
    </row>
    <row r="32" spans="1:22" s="377" customFormat="1" ht="12.75">
      <c r="A32" s="375"/>
      <c r="B32" s="383"/>
      <c r="D32" s="378"/>
      <c r="E32" s="378"/>
      <c r="F32" s="379"/>
      <c r="G32" s="382"/>
      <c r="H32" s="379"/>
      <c r="I32" s="380"/>
      <c r="J32" s="380"/>
      <c r="K32" s="380"/>
      <c r="N32" s="3"/>
      <c r="O32" s="3"/>
      <c r="P32" s="3"/>
      <c r="Q32" s="3"/>
      <c r="R32" s="3"/>
      <c r="S32" s="3"/>
      <c r="T32" s="3"/>
      <c r="U32" s="3"/>
      <c r="V32" s="3"/>
    </row>
    <row r="33" spans="1:22" s="377" customFormat="1" ht="12.75">
      <c r="A33" s="375">
        <v>9</v>
      </c>
      <c r="B33" s="376" t="s">
        <v>555</v>
      </c>
      <c r="D33" s="378"/>
      <c r="E33" s="378"/>
      <c r="F33" s="379"/>
      <c r="G33" s="382"/>
      <c r="H33" s="379"/>
      <c r="I33" s="380"/>
      <c r="J33" s="380"/>
      <c r="K33" s="391"/>
      <c r="N33" s="3"/>
      <c r="O33" s="3"/>
      <c r="P33" s="3"/>
      <c r="Q33" s="3"/>
      <c r="R33" s="3"/>
      <c r="S33" s="3"/>
      <c r="T33" s="3"/>
      <c r="U33" s="3"/>
      <c r="V33" s="3"/>
    </row>
    <row r="34" spans="1:22" s="377" customFormat="1" ht="12.75">
      <c r="A34" s="375"/>
      <c r="B34" s="383"/>
      <c r="D34" s="378"/>
      <c r="E34" s="378"/>
      <c r="F34" s="379"/>
      <c r="G34" s="382"/>
      <c r="H34" s="379"/>
      <c r="I34" s="380"/>
      <c r="J34" s="380"/>
      <c r="K34" s="380"/>
      <c r="N34" s="3"/>
      <c r="O34" s="3"/>
      <c r="P34" s="3"/>
      <c r="Q34" s="3"/>
      <c r="R34" s="3"/>
      <c r="S34" s="3"/>
      <c r="T34" s="3"/>
      <c r="U34" s="3"/>
      <c r="V34" s="3"/>
    </row>
    <row r="35" spans="1:22" ht="15.75">
      <c r="A35" s="387"/>
      <c r="C35" s="373"/>
      <c r="D35" s="366"/>
      <c r="E35" s="366"/>
      <c r="F35" s="369"/>
      <c r="G35" s="388"/>
      <c r="H35" s="369"/>
      <c r="I35" s="389"/>
      <c r="J35" s="369"/>
      <c r="K35" s="369"/>
      <c r="L35" s="369"/>
      <c r="M35" s="389"/>
      <c r="N35" s="131"/>
      <c r="O35" s="16"/>
      <c r="P35" s="16"/>
      <c r="Q35" s="16"/>
      <c r="R35" s="16"/>
      <c r="S35" s="131"/>
      <c r="T35" s="131"/>
      <c r="U35" s="131"/>
      <c r="V35" s="131"/>
    </row>
    <row r="36" spans="1:22" s="377" customFormat="1" ht="12.75" customHeight="1">
      <c r="A36" s="41" t="s">
        <v>295</v>
      </c>
      <c r="B36" s="1175" t="str">
        <f>"The total company data on this worksheet comes from the indicated FF1 source, or "&amp;A6&amp;"'s general ledger. The functional amounts identified as transmission revenue also come from the general ledger. "</f>
        <v xml:space="preserve">The total company data on this worksheet comes from the indicated FF1 source, or AEP Kentucky Transmission Company's general ledger. The functional amounts identified as transmission revenue also come from the general ledger. </v>
      </c>
      <c r="C36" s="1175"/>
      <c r="D36" s="1175"/>
      <c r="E36" s="1175"/>
      <c r="F36" s="1175"/>
      <c r="G36" s="1175"/>
      <c r="H36" s="1175"/>
      <c r="I36" s="1175"/>
      <c r="J36" s="1175"/>
      <c r="K36" s="3"/>
      <c r="L36" s="3"/>
      <c r="M36" s="3"/>
      <c r="N36" s="3"/>
      <c r="O36" s="3"/>
      <c r="P36" s="3"/>
      <c r="Q36" s="3"/>
      <c r="R36" s="3"/>
      <c r="S36" s="3"/>
      <c r="T36" s="47"/>
      <c r="U36" s="3"/>
      <c r="V36" s="3"/>
    </row>
    <row r="37" spans="1:22" s="377" customFormat="1" ht="12.75">
      <c r="A37" s="3"/>
      <c r="B37" s="1175"/>
      <c r="C37" s="1175"/>
      <c r="D37" s="1175"/>
      <c r="E37" s="1175"/>
      <c r="F37" s="1175"/>
      <c r="G37" s="1175"/>
      <c r="H37" s="1175"/>
      <c r="I37" s="1175"/>
      <c r="J37" s="1175"/>
      <c r="K37" s="3"/>
      <c r="L37" s="3"/>
      <c r="M37" s="70"/>
      <c r="N37" s="70"/>
      <c r="O37" s="70"/>
      <c r="P37" s="70"/>
      <c r="Q37" s="70"/>
      <c r="R37" s="3"/>
      <c r="S37" s="3"/>
      <c r="T37" s="3"/>
      <c r="U37" s="3"/>
      <c r="V37" s="3"/>
    </row>
    <row r="38" spans="1:22" s="377" customFormat="1" ht="12.75">
      <c r="A38" s="3" t="s">
        <v>631</v>
      </c>
      <c r="B38" s="878" t="s">
        <v>632</v>
      </c>
      <c r="C38" s="691"/>
      <c r="D38" s="691"/>
      <c r="E38" s="691"/>
      <c r="F38" s="691"/>
      <c r="G38" s="691"/>
      <c r="H38" s="691"/>
      <c r="I38" s="691"/>
      <c r="J38" s="691"/>
      <c r="K38" s="70"/>
      <c r="L38" s="3"/>
      <c r="M38" s="70"/>
      <c r="N38" s="70"/>
      <c r="O38" s="70"/>
      <c r="P38" s="70"/>
      <c r="Q38" s="70"/>
      <c r="R38" s="3"/>
      <c r="S38" s="3"/>
      <c r="T38" s="3"/>
      <c r="U38" s="3"/>
      <c r="V38" s="3"/>
    </row>
    <row r="39" spans="1:22" ht="15.75">
      <c r="A39" s="131"/>
      <c r="B39" s="131"/>
      <c r="E39" s="390"/>
      <c r="F39" s="390"/>
      <c r="G39" s="390"/>
      <c r="H39" s="390"/>
      <c r="I39" s="390"/>
      <c r="J39" s="390"/>
      <c r="K39" s="390"/>
      <c r="L39" s="131"/>
      <c r="M39" s="390"/>
      <c r="N39" s="390"/>
      <c r="O39" s="390"/>
      <c r="P39" s="390"/>
      <c r="Q39" s="390"/>
      <c r="R39" s="131"/>
      <c r="S39" s="131"/>
      <c r="T39" s="131"/>
      <c r="U39" s="131"/>
      <c r="V39" s="131"/>
    </row>
    <row r="40" spans="1:22" ht="15.75">
      <c r="A40" s="131"/>
      <c r="B40" s="131"/>
      <c r="E40" s="390"/>
      <c r="F40" s="390"/>
      <c r="G40" s="390"/>
      <c r="H40" s="390"/>
      <c r="I40" s="390"/>
      <c r="J40" s="390"/>
      <c r="K40" s="390"/>
      <c r="L40" s="131"/>
      <c r="M40" s="390"/>
      <c r="N40" s="390"/>
      <c r="O40" s="390"/>
      <c r="P40" s="390"/>
      <c r="Q40" s="390"/>
      <c r="R40" s="131"/>
      <c r="S40" s="131"/>
      <c r="T40" s="131"/>
      <c r="U40" s="131"/>
      <c r="V40" s="131"/>
    </row>
    <row r="41" spans="1:22" ht="15.75">
      <c r="A41" s="131"/>
      <c r="B41" s="131"/>
      <c r="E41" s="390"/>
      <c r="F41" s="390"/>
      <c r="G41" s="390"/>
      <c r="H41" s="390"/>
      <c r="I41" s="390"/>
      <c r="J41" s="390"/>
      <c r="K41" s="390"/>
      <c r="L41" s="131"/>
      <c r="M41" s="390"/>
      <c r="N41" s="390"/>
      <c r="O41" s="390"/>
      <c r="P41" s="390"/>
      <c r="Q41" s="390"/>
      <c r="R41" s="131"/>
      <c r="S41" s="131"/>
      <c r="T41" s="131"/>
      <c r="U41" s="131"/>
      <c r="V41" s="131"/>
    </row>
    <row r="42" spans="1:22" ht="15.75">
      <c r="A42" s="131"/>
      <c r="B42" s="131"/>
      <c r="E42" s="390"/>
      <c r="F42" s="390"/>
      <c r="G42" s="390"/>
      <c r="H42" s="390"/>
      <c r="I42" s="390"/>
      <c r="J42" s="390"/>
      <c r="K42" s="390"/>
      <c r="L42" s="131"/>
      <c r="M42" s="390"/>
      <c r="N42" s="390"/>
      <c r="O42" s="390"/>
      <c r="P42" s="390"/>
      <c r="Q42" s="390"/>
      <c r="R42" s="131"/>
      <c r="S42" s="131"/>
      <c r="T42" s="131"/>
      <c r="U42" s="131"/>
      <c r="V42" s="131"/>
    </row>
    <row r="43" spans="1:22" ht="15.75">
      <c r="A43" s="131"/>
      <c r="B43" s="131"/>
      <c r="E43" s="390"/>
      <c r="F43" s="390"/>
      <c r="G43" s="390"/>
      <c r="H43" s="390"/>
      <c r="I43" s="390"/>
      <c r="J43" s="390"/>
      <c r="K43" s="390"/>
      <c r="L43" s="131"/>
      <c r="M43" s="390"/>
      <c r="N43" s="390"/>
      <c r="O43" s="390"/>
      <c r="P43" s="390"/>
      <c r="Q43" s="390"/>
      <c r="R43" s="131"/>
      <c r="S43" s="131"/>
      <c r="T43" s="131"/>
      <c r="U43" s="131"/>
      <c r="V43" s="131"/>
    </row>
    <row r="44" spans="1:22" ht="15.75">
      <c r="A44" s="131"/>
      <c r="B44" s="131"/>
      <c r="E44" s="390"/>
      <c r="F44" s="390"/>
      <c r="G44" s="390"/>
      <c r="H44" s="390"/>
      <c r="I44" s="390"/>
      <c r="J44" s="390"/>
      <c r="K44" s="390"/>
      <c r="L44" s="131"/>
      <c r="M44" s="390"/>
      <c r="N44" s="390"/>
      <c r="O44" s="390"/>
      <c r="P44" s="390"/>
      <c r="Q44" s="390"/>
      <c r="R44" s="131"/>
      <c r="S44" s="131"/>
      <c r="T44" s="131"/>
      <c r="U44" s="131"/>
      <c r="V44" s="131"/>
    </row>
    <row r="45" spans="1:22" ht="15.75">
      <c r="A45" s="131"/>
      <c r="B45" s="131"/>
      <c r="E45" s="390"/>
      <c r="F45" s="390"/>
      <c r="G45" s="390"/>
      <c r="H45" s="390"/>
      <c r="I45" s="390"/>
      <c r="J45" s="390"/>
      <c r="K45" s="390"/>
      <c r="L45" s="131"/>
      <c r="M45" s="390"/>
      <c r="N45" s="390"/>
      <c r="O45" s="390"/>
      <c r="P45" s="390"/>
      <c r="Q45" s="390"/>
      <c r="R45" s="131"/>
      <c r="S45" s="131"/>
      <c r="T45" s="131"/>
      <c r="U45" s="131"/>
      <c r="V45" s="131"/>
    </row>
    <row r="46" spans="1:22" ht="15.75">
      <c r="A46" s="131"/>
      <c r="B46" s="131"/>
      <c r="E46" s="390"/>
      <c r="F46" s="390"/>
      <c r="G46" s="390"/>
      <c r="H46" s="390"/>
      <c r="I46" s="390"/>
      <c r="J46" s="390"/>
      <c r="K46" s="390"/>
      <c r="L46" s="131"/>
      <c r="M46" s="390"/>
      <c r="N46" s="390"/>
      <c r="O46" s="390"/>
      <c r="P46" s="390"/>
      <c r="Q46" s="390"/>
      <c r="R46" s="131"/>
      <c r="S46" s="131"/>
      <c r="T46" s="131"/>
      <c r="U46" s="131"/>
      <c r="V46" s="131"/>
    </row>
    <row r="47" spans="1:22" ht="15.75">
      <c r="A47" s="131"/>
      <c r="B47" s="131"/>
      <c r="E47" s="390"/>
      <c r="F47" s="390"/>
      <c r="G47" s="390"/>
      <c r="H47" s="390"/>
      <c r="I47" s="390"/>
      <c r="J47" s="390"/>
      <c r="K47" s="390"/>
      <c r="L47" s="131"/>
      <c r="M47" s="390"/>
      <c r="N47" s="390"/>
      <c r="O47" s="390"/>
      <c r="P47" s="390"/>
      <c r="Q47" s="390"/>
      <c r="R47" s="131"/>
      <c r="S47" s="131"/>
      <c r="T47" s="131"/>
      <c r="U47" s="131"/>
      <c r="V47" s="131"/>
    </row>
    <row r="48" spans="1:22" ht="15.75">
      <c r="A48" s="131"/>
      <c r="B48" s="131"/>
      <c r="E48" s="390"/>
      <c r="F48" s="390"/>
      <c r="G48" s="390"/>
      <c r="H48" s="390"/>
      <c r="I48" s="390"/>
      <c r="J48" s="390"/>
      <c r="K48" s="390"/>
      <c r="L48" s="131"/>
      <c r="M48" s="390"/>
      <c r="N48" s="390"/>
      <c r="O48" s="390"/>
      <c r="P48" s="390"/>
      <c r="Q48" s="390"/>
      <c r="R48" s="131"/>
      <c r="S48" s="131"/>
      <c r="T48" s="131"/>
      <c r="U48" s="131"/>
      <c r="V48" s="131"/>
    </row>
    <row r="49" spans="1:22" ht="15.75">
      <c r="I49" s="390"/>
      <c r="J49" s="390"/>
      <c r="K49" s="390"/>
      <c r="L49" s="131"/>
      <c r="M49" s="390"/>
      <c r="N49" s="390"/>
      <c r="O49" s="390"/>
      <c r="P49" s="390"/>
      <c r="Q49" s="390"/>
      <c r="R49" s="131"/>
      <c r="S49" s="131"/>
      <c r="T49" s="131"/>
      <c r="U49" s="131"/>
      <c r="V49" s="131"/>
    </row>
    <row r="50" spans="1:22" ht="15.75">
      <c r="A50" s="131"/>
      <c r="B50" s="131"/>
      <c r="E50" s="390"/>
      <c r="F50" s="390"/>
      <c r="G50" s="390"/>
      <c r="H50" s="390"/>
      <c r="I50" s="390"/>
      <c r="J50" s="390"/>
      <c r="K50" s="390"/>
      <c r="L50" s="131"/>
      <c r="M50" s="390"/>
      <c r="N50" s="390"/>
      <c r="O50" s="390"/>
      <c r="P50" s="390"/>
      <c r="Q50" s="390"/>
      <c r="R50" s="131"/>
      <c r="S50" s="131"/>
      <c r="T50" s="131"/>
      <c r="U50" s="131"/>
      <c r="V50" s="131"/>
    </row>
    <row r="51" spans="1:22" ht="15.75">
      <c r="A51" s="131"/>
      <c r="B51" s="131"/>
      <c r="E51" s="390"/>
      <c r="F51" s="390"/>
      <c r="G51" s="390"/>
      <c r="H51" s="390"/>
      <c r="I51" s="390"/>
      <c r="J51" s="390"/>
      <c r="K51" s="390"/>
      <c r="L51" s="131"/>
      <c r="M51" s="390"/>
      <c r="N51" s="390"/>
      <c r="O51" s="390"/>
      <c r="P51" s="390"/>
      <c r="Q51" s="390"/>
      <c r="R51" s="131"/>
      <c r="S51" s="131"/>
      <c r="T51" s="131"/>
      <c r="U51" s="131"/>
      <c r="V51" s="131"/>
    </row>
    <row r="52" spans="1:22" ht="15.75">
      <c r="A52" s="131"/>
      <c r="B52" s="131"/>
      <c r="E52" s="390"/>
      <c r="F52" s="390"/>
      <c r="G52" s="390"/>
      <c r="H52" s="390"/>
      <c r="I52" s="390"/>
      <c r="J52" s="390"/>
      <c r="K52" s="390"/>
      <c r="L52" s="131"/>
      <c r="M52" s="390"/>
      <c r="N52" s="390"/>
      <c r="O52" s="390"/>
      <c r="P52" s="390"/>
      <c r="Q52" s="390"/>
      <c r="R52" s="131"/>
      <c r="S52" s="131"/>
      <c r="T52" s="131"/>
      <c r="U52" s="131"/>
      <c r="V52" s="131"/>
    </row>
    <row r="53" spans="1:22" ht="15.75">
      <c r="A53" s="131"/>
      <c r="B53" s="131"/>
      <c r="E53" s="390"/>
      <c r="F53" s="390"/>
      <c r="G53" s="390"/>
      <c r="H53" s="390"/>
      <c r="I53" s="390"/>
      <c r="J53" s="390"/>
      <c r="K53" s="390"/>
      <c r="L53" s="131"/>
      <c r="M53" s="390"/>
      <c r="N53" s="390"/>
      <c r="O53" s="390"/>
      <c r="P53" s="390"/>
      <c r="Q53" s="390"/>
      <c r="R53" s="131"/>
      <c r="S53" s="131"/>
      <c r="T53" s="131"/>
      <c r="U53" s="131"/>
      <c r="V53" s="131"/>
    </row>
    <row r="54" spans="1:22" ht="15.75">
      <c r="A54" s="131"/>
      <c r="B54" s="131"/>
      <c r="E54" s="390"/>
      <c r="F54" s="390"/>
      <c r="G54" s="390"/>
      <c r="H54" s="390"/>
      <c r="I54" s="390"/>
      <c r="J54" s="390"/>
      <c r="K54" s="390"/>
      <c r="L54" s="131"/>
      <c r="M54" s="390"/>
      <c r="N54" s="390"/>
      <c r="O54" s="390"/>
      <c r="P54" s="390"/>
      <c r="Q54" s="390"/>
      <c r="R54" s="131"/>
      <c r="S54" s="131"/>
      <c r="T54" s="131"/>
      <c r="U54" s="131"/>
      <c r="V54" s="131"/>
    </row>
    <row r="55" spans="1:22" ht="15.75">
      <c r="A55" s="131"/>
      <c r="B55" s="131"/>
      <c r="E55" s="390"/>
      <c r="F55" s="390"/>
      <c r="G55" s="390"/>
      <c r="H55" s="390"/>
      <c r="I55" s="390"/>
      <c r="J55" s="390"/>
      <c r="K55" s="390"/>
      <c r="L55" s="131"/>
      <c r="M55" s="390"/>
      <c r="N55" s="390"/>
      <c r="O55" s="390"/>
      <c r="P55" s="390"/>
      <c r="Q55" s="390"/>
      <c r="R55" s="131"/>
      <c r="S55" s="131"/>
      <c r="T55" s="131"/>
      <c r="U55" s="131"/>
      <c r="V55" s="131"/>
    </row>
    <row r="56" spans="1:22" ht="15.75">
      <c r="A56" s="131"/>
      <c r="B56" s="131"/>
      <c r="E56" s="390"/>
      <c r="F56" s="390"/>
      <c r="G56" s="390"/>
      <c r="H56" s="390"/>
      <c r="I56" s="390"/>
      <c r="J56" s="390"/>
      <c r="K56" s="390"/>
      <c r="L56" s="131"/>
      <c r="M56" s="390"/>
      <c r="N56" s="390"/>
      <c r="O56" s="390"/>
      <c r="P56" s="390"/>
      <c r="Q56" s="390"/>
      <c r="R56" s="131"/>
      <c r="S56" s="131"/>
      <c r="T56" s="131"/>
      <c r="U56" s="131"/>
      <c r="V56" s="131"/>
    </row>
    <row r="57" spans="1:22" ht="15.75">
      <c r="A57" s="131"/>
      <c r="B57" s="131"/>
      <c r="E57" s="390"/>
      <c r="F57" s="390"/>
      <c r="G57" s="390"/>
      <c r="H57" s="390"/>
      <c r="I57" s="390"/>
      <c r="J57" s="390"/>
      <c r="K57" s="390"/>
      <c r="L57" s="131"/>
      <c r="M57" s="390"/>
      <c r="N57" s="390"/>
      <c r="O57" s="390"/>
      <c r="P57" s="390"/>
      <c r="Q57" s="390"/>
      <c r="R57" s="131"/>
      <c r="S57" s="131"/>
      <c r="T57" s="131"/>
      <c r="U57" s="131"/>
      <c r="V57" s="131"/>
    </row>
    <row r="58" spans="1:22" ht="15.75">
      <c r="A58" s="131"/>
      <c r="B58" s="131"/>
      <c r="E58" s="390"/>
      <c r="F58" s="390"/>
      <c r="G58" s="390"/>
      <c r="H58" s="390"/>
      <c r="I58" s="390"/>
      <c r="J58" s="390"/>
      <c r="K58" s="390"/>
      <c r="L58" s="131"/>
      <c r="M58" s="390"/>
      <c r="N58" s="390"/>
      <c r="O58" s="390"/>
      <c r="P58" s="390"/>
      <c r="Q58" s="390"/>
      <c r="R58" s="131"/>
      <c r="S58" s="131"/>
      <c r="T58" s="131"/>
      <c r="U58" s="131"/>
      <c r="V58" s="131"/>
    </row>
    <row r="59" spans="1:22" ht="15.75">
      <c r="A59" s="131"/>
      <c r="B59" s="131"/>
      <c r="E59" s="390"/>
      <c r="F59" s="390"/>
      <c r="G59" s="390"/>
      <c r="H59" s="390"/>
      <c r="I59" s="390"/>
      <c r="J59" s="390"/>
      <c r="K59" s="390"/>
      <c r="L59" s="131"/>
      <c r="M59" s="390"/>
      <c r="N59" s="390"/>
      <c r="O59" s="390"/>
      <c r="P59" s="390"/>
      <c r="Q59" s="390"/>
      <c r="R59" s="131"/>
      <c r="S59" s="131"/>
      <c r="T59" s="131"/>
      <c r="U59" s="131"/>
      <c r="V59" s="131"/>
    </row>
    <row r="60" spans="1:22" ht="15.75">
      <c r="A60" s="131"/>
      <c r="B60" s="131"/>
      <c r="E60" s="390"/>
      <c r="F60" s="390"/>
      <c r="G60" s="390"/>
      <c r="H60" s="390"/>
      <c r="I60" s="390"/>
      <c r="J60" s="390"/>
      <c r="K60" s="390"/>
      <c r="L60" s="131"/>
      <c r="M60" s="390"/>
      <c r="N60" s="390"/>
      <c r="O60" s="390"/>
      <c r="P60" s="390"/>
      <c r="Q60" s="390"/>
      <c r="R60" s="131"/>
      <c r="S60" s="131"/>
      <c r="T60" s="131"/>
      <c r="U60" s="131"/>
      <c r="V60" s="131"/>
    </row>
    <row r="61" spans="1:22" ht="15.75">
      <c r="A61" s="131"/>
      <c r="B61" s="131"/>
      <c r="E61" s="390"/>
      <c r="F61" s="390"/>
      <c r="G61" s="390"/>
      <c r="H61" s="390"/>
      <c r="I61" s="390"/>
      <c r="J61" s="390"/>
      <c r="K61" s="390"/>
      <c r="L61" s="131"/>
      <c r="M61" s="390"/>
      <c r="N61" s="390"/>
      <c r="O61" s="390"/>
      <c r="P61" s="390"/>
      <c r="Q61" s="390"/>
      <c r="R61" s="131"/>
      <c r="S61" s="131"/>
      <c r="T61" s="131"/>
      <c r="U61" s="131"/>
      <c r="V61" s="131"/>
    </row>
    <row r="62" spans="1:22" ht="15.75">
      <c r="A62" s="131"/>
      <c r="B62" s="131"/>
      <c r="E62" s="390"/>
      <c r="F62" s="390"/>
      <c r="G62" s="390"/>
      <c r="H62" s="390"/>
      <c r="I62" s="390"/>
      <c r="J62" s="390"/>
      <c r="K62" s="390"/>
      <c r="L62" s="131"/>
      <c r="M62" s="390"/>
      <c r="N62" s="390"/>
      <c r="O62" s="390"/>
      <c r="P62" s="390"/>
      <c r="Q62" s="390"/>
      <c r="R62" s="131"/>
      <c r="S62" s="131"/>
      <c r="T62" s="131"/>
      <c r="U62" s="131"/>
      <c r="V62" s="131"/>
    </row>
    <row r="63" spans="1:22" ht="15.75">
      <c r="A63" s="131"/>
      <c r="B63" s="131"/>
      <c r="E63" s="390"/>
      <c r="F63" s="390"/>
      <c r="G63" s="390"/>
      <c r="H63" s="390"/>
      <c r="I63" s="390"/>
      <c r="J63" s="390"/>
      <c r="K63" s="390"/>
      <c r="L63" s="131"/>
      <c r="M63" s="390"/>
      <c r="N63" s="390"/>
      <c r="O63" s="390"/>
      <c r="P63" s="390"/>
      <c r="Q63" s="390"/>
      <c r="R63" s="131"/>
      <c r="S63" s="131"/>
      <c r="T63" s="131"/>
      <c r="U63" s="131"/>
      <c r="V63" s="131"/>
    </row>
    <row r="64" spans="1:22" ht="15.75">
      <c r="A64" s="131"/>
      <c r="B64" s="131"/>
      <c r="E64" s="390"/>
      <c r="F64" s="390"/>
      <c r="G64" s="390"/>
      <c r="H64" s="390"/>
      <c r="I64" s="390"/>
      <c r="J64" s="390"/>
      <c r="K64" s="390"/>
      <c r="L64" s="131"/>
      <c r="M64" s="390"/>
      <c r="N64" s="390"/>
      <c r="O64" s="390"/>
      <c r="P64" s="390"/>
      <c r="Q64" s="390"/>
      <c r="R64" s="131"/>
      <c r="S64" s="131"/>
      <c r="T64" s="131"/>
      <c r="U64" s="131"/>
      <c r="V64" s="131"/>
    </row>
    <row r="65" spans="1:22" ht="15.75">
      <c r="A65" s="131"/>
      <c r="B65" s="131"/>
      <c r="E65" s="390"/>
      <c r="F65" s="390"/>
      <c r="G65" s="390"/>
      <c r="H65" s="390"/>
      <c r="I65" s="390"/>
      <c r="J65" s="390"/>
      <c r="K65" s="390"/>
      <c r="L65" s="131"/>
      <c r="M65" s="390"/>
      <c r="N65" s="390"/>
      <c r="O65" s="390"/>
      <c r="P65" s="390"/>
      <c r="Q65" s="390"/>
      <c r="R65" s="131"/>
      <c r="S65" s="131"/>
      <c r="T65" s="131"/>
      <c r="U65" s="131"/>
      <c r="V65" s="131"/>
    </row>
    <row r="66" spans="1:22" ht="15.75">
      <c r="A66" s="131"/>
      <c r="B66" s="131"/>
      <c r="E66" s="390"/>
      <c r="F66" s="390"/>
      <c r="G66" s="390"/>
      <c r="H66" s="390"/>
      <c r="I66" s="390"/>
      <c r="J66" s="390"/>
      <c r="K66" s="390"/>
      <c r="L66" s="131"/>
      <c r="M66" s="390"/>
      <c r="N66" s="390"/>
      <c r="O66" s="390"/>
      <c r="P66" s="390"/>
      <c r="Q66" s="390"/>
      <c r="R66" s="131"/>
      <c r="S66" s="131"/>
      <c r="T66" s="131"/>
      <c r="U66" s="131"/>
      <c r="V66" s="131"/>
    </row>
    <row r="67" spans="1:22" ht="15.75">
      <c r="A67" s="131"/>
      <c r="B67" s="131"/>
      <c r="E67" s="390"/>
      <c r="F67" s="390"/>
      <c r="G67" s="390"/>
      <c r="H67" s="390"/>
      <c r="I67" s="390"/>
      <c r="J67" s="390"/>
      <c r="K67" s="390"/>
      <c r="L67" s="131"/>
      <c r="M67" s="390"/>
      <c r="N67" s="390"/>
      <c r="O67" s="390"/>
      <c r="P67" s="390"/>
      <c r="Q67" s="390"/>
      <c r="R67" s="131"/>
      <c r="S67" s="131"/>
      <c r="T67" s="131"/>
      <c r="U67" s="131"/>
      <c r="V67" s="131"/>
    </row>
    <row r="68" spans="1:22" ht="15.75">
      <c r="A68" s="131"/>
      <c r="B68" s="131"/>
      <c r="E68" s="390"/>
      <c r="F68" s="390"/>
      <c r="G68" s="390"/>
      <c r="H68" s="390"/>
      <c r="I68" s="390"/>
      <c r="J68" s="390"/>
      <c r="K68" s="390"/>
      <c r="L68" s="131"/>
      <c r="M68" s="390"/>
      <c r="N68" s="390"/>
      <c r="O68" s="390"/>
      <c r="P68" s="390"/>
      <c r="Q68" s="390"/>
      <c r="R68" s="131"/>
      <c r="S68" s="131"/>
      <c r="T68" s="131"/>
      <c r="U68" s="131"/>
      <c r="V68" s="131"/>
    </row>
    <row r="69" spans="1:22" ht="15.75">
      <c r="A69" s="131"/>
      <c r="B69" s="131"/>
      <c r="E69" s="390"/>
      <c r="F69" s="390"/>
      <c r="G69" s="390"/>
      <c r="H69" s="390"/>
      <c r="I69" s="390"/>
      <c r="J69" s="390"/>
      <c r="K69" s="390"/>
      <c r="L69" s="131"/>
      <c r="M69" s="390"/>
      <c r="N69" s="390"/>
      <c r="O69" s="390"/>
      <c r="P69" s="390"/>
      <c r="Q69" s="390"/>
      <c r="R69" s="131"/>
      <c r="S69" s="131"/>
      <c r="T69" s="131"/>
      <c r="U69" s="131"/>
      <c r="V69" s="131"/>
    </row>
    <row r="70" spans="1:22" ht="15.75">
      <c r="A70" s="131"/>
      <c r="B70" s="131"/>
      <c r="E70" s="390"/>
      <c r="F70" s="390"/>
      <c r="G70" s="390"/>
      <c r="H70" s="390"/>
      <c r="I70" s="390"/>
      <c r="J70" s="390"/>
      <c r="K70" s="390"/>
      <c r="L70" s="131"/>
      <c r="M70" s="390"/>
      <c r="N70" s="390"/>
      <c r="O70" s="390"/>
      <c r="P70" s="390"/>
      <c r="Q70" s="390"/>
      <c r="R70" s="131"/>
      <c r="S70" s="131"/>
      <c r="T70" s="131"/>
      <c r="U70" s="131"/>
      <c r="V70" s="131"/>
    </row>
    <row r="71" spans="1:22" ht="15.75">
      <c r="A71" s="131"/>
      <c r="B71" s="131"/>
      <c r="E71" s="390"/>
      <c r="F71" s="390"/>
      <c r="G71" s="390"/>
      <c r="H71" s="390"/>
      <c r="I71" s="390"/>
      <c r="J71" s="390"/>
      <c r="K71" s="390"/>
      <c r="L71" s="131"/>
      <c r="M71" s="390"/>
      <c r="N71" s="390"/>
      <c r="O71" s="390"/>
      <c r="P71" s="390"/>
      <c r="Q71" s="390"/>
      <c r="R71" s="131"/>
      <c r="S71" s="131"/>
      <c r="T71" s="131"/>
      <c r="U71" s="131"/>
      <c r="V71" s="131"/>
    </row>
    <row r="72" spans="1:22" ht="15.75">
      <c r="A72" s="131"/>
      <c r="B72" s="131"/>
      <c r="E72" s="390"/>
      <c r="F72" s="390"/>
      <c r="G72" s="390"/>
      <c r="H72" s="390"/>
      <c r="I72" s="390"/>
      <c r="J72" s="390"/>
      <c r="K72" s="390"/>
      <c r="L72" s="131"/>
      <c r="M72" s="390"/>
      <c r="N72" s="390"/>
      <c r="O72" s="390"/>
      <c r="P72" s="390"/>
      <c r="Q72" s="390"/>
      <c r="R72" s="131"/>
      <c r="S72" s="131"/>
      <c r="T72" s="131"/>
      <c r="U72" s="131"/>
      <c r="V72" s="131"/>
    </row>
    <row r="73" spans="1:22" ht="15.75">
      <c r="A73" s="131"/>
      <c r="B73" s="131"/>
      <c r="E73" s="390"/>
      <c r="F73" s="390"/>
      <c r="G73" s="390"/>
      <c r="H73" s="390"/>
      <c r="I73" s="390"/>
      <c r="J73" s="390"/>
      <c r="K73" s="390"/>
      <c r="L73" s="131"/>
      <c r="M73" s="390"/>
      <c r="N73" s="390"/>
      <c r="O73" s="390"/>
      <c r="P73" s="390"/>
      <c r="Q73" s="390"/>
      <c r="R73" s="131"/>
      <c r="S73" s="131"/>
      <c r="T73" s="131"/>
      <c r="U73" s="131"/>
      <c r="V73" s="131"/>
    </row>
    <row r="74" spans="1:22" ht="15.75">
      <c r="A74" s="131"/>
      <c r="B74" s="131"/>
      <c r="E74" s="390"/>
      <c r="F74" s="390"/>
      <c r="G74" s="390"/>
      <c r="H74" s="390"/>
      <c r="I74" s="390"/>
      <c r="J74" s="390"/>
      <c r="K74" s="390"/>
      <c r="L74" s="131"/>
      <c r="M74" s="390"/>
      <c r="N74" s="390"/>
      <c r="O74" s="390"/>
      <c r="P74" s="390"/>
      <c r="Q74" s="390"/>
      <c r="R74" s="131"/>
      <c r="S74" s="131"/>
      <c r="T74" s="131"/>
      <c r="U74" s="131"/>
      <c r="V74" s="131"/>
    </row>
    <row r="75" spans="1:22" ht="15.75">
      <c r="A75" s="131"/>
      <c r="B75" s="131"/>
      <c r="E75" s="390"/>
      <c r="F75" s="390"/>
      <c r="G75" s="390"/>
      <c r="H75" s="390"/>
      <c r="I75" s="390"/>
      <c r="J75" s="390"/>
      <c r="K75" s="390"/>
      <c r="L75" s="131"/>
      <c r="M75" s="390"/>
      <c r="N75" s="390"/>
      <c r="O75" s="390"/>
      <c r="P75" s="390"/>
      <c r="Q75" s="390"/>
      <c r="R75" s="131"/>
      <c r="S75" s="131"/>
      <c r="T75" s="131"/>
      <c r="U75" s="131"/>
      <c r="V75" s="131"/>
    </row>
    <row r="76" spans="1:22" ht="15.75">
      <c r="A76" s="131"/>
      <c r="B76" s="131"/>
      <c r="E76" s="390"/>
      <c r="F76" s="390"/>
      <c r="G76" s="390"/>
      <c r="H76" s="390"/>
      <c r="I76" s="390"/>
      <c r="J76" s="390"/>
      <c r="K76" s="390"/>
      <c r="L76" s="131"/>
      <c r="M76" s="390"/>
      <c r="N76" s="390"/>
      <c r="O76" s="390"/>
      <c r="P76" s="390"/>
      <c r="Q76" s="390"/>
      <c r="R76" s="131"/>
      <c r="S76" s="131"/>
      <c r="T76" s="131"/>
      <c r="U76" s="131"/>
      <c r="V76" s="131"/>
    </row>
    <row r="77" spans="1:22" ht="15.75">
      <c r="A77" s="131"/>
      <c r="B77" s="131"/>
      <c r="E77" s="390"/>
      <c r="F77" s="390"/>
      <c r="G77" s="390"/>
      <c r="H77" s="390"/>
      <c r="I77" s="390"/>
      <c r="J77" s="390"/>
      <c r="K77" s="390"/>
      <c r="L77" s="131"/>
      <c r="M77" s="390"/>
      <c r="N77" s="390"/>
      <c r="O77" s="390"/>
      <c r="P77" s="390"/>
      <c r="Q77" s="390"/>
      <c r="R77" s="131"/>
      <c r="S77" s="131"/>
      <c r="T77" s="131"/>
      <c r="U77" s="131"/>
      <c r="V77" s="131"/>
    </row>
    <row r="78" spans="1:22" ht="15.75">
      <c r="A78" s="131"/>
      <c r="B78" s="131"/>
      <c r="E78" s="390"/>
      <c r="F78" s="390"/>
      <c r="G78" s="390"/>
      <c r="H78" s="390"/>
      <c r="I78" s="390"/>
      <c r="J78" s="390"/>
      <c r="K78" s="390"/>
      <c r="L78" s="131"/>
      <c r="M78" s="390"/>
      <c r="N78" s="390"/>
      <c r="O78" s="390"/>
      <c r="P78" s="390"/>
      <c r="Q78" s="390"/>
      <c r="R78" s="131"/>
      <c r="S78" s="131"/>
      <c r="T78" s="131"/>
      <c r="U78" s="131"/>
      <c r="V78" s="131"/>
    </row>
    <row r="79" spans="1:22" ht="15.75">
      <c r="A79" s="131"/>
      <c r="B79" s="131"/>
      <c r="E79" s="390"/>
      <c r="F79" s="390"/>
      <c r="G79" s="390"/>
      <c r="H79" s="390"/>
      <c r="I79" s="390"/>
      <c r="J79" s="390"/>
      <c r="K79" s="390"/>
      <c r="L79" s="131"/>
      <c r="M79" s="390"/>
      <c r="N79" s="390"/>
      <c r="O79" s="390"/>
      <c r="P79" s="390"/>
      <c r="Q79" s="390"/>
      <c r="R79" s="131"/>
      <c r="S79" s="131"/>
      <c r="T79" s="131"/>
      <c r="U79" s="131"/>
      <c r="V79" s="131"/>
    </row>
    <row r="80" spans="1:22" ht="15.75">
      <c r="A80" s="131"/>
      <c r="B80" s="131"/>
      <c r="E80" s="390"/>
      <c r="F80" s="390"/>
      <c r="G80" s="390"/>
      <c r="H80" s="390"/>
      <c r="I80" s="390"/>
      <c r="J80" s="390"/>
      <c r="K80" s="390"/>
      <c r="L80" s="131"/>
      <c r="M80" s="390"/>
      <c r="N80" s="390"/>
      <c r="O80" s="390"/>
      <c r="P80" s="390"/>
      <c r="Q80" s="390"/>
      <c r="R80" s="131"/>
      <c r="S80" s="131"/>
      <c r="T80" s="131"/>
      <c r="U80" s="131"/>
      <c r="V80" s="131"/>
    </row>
    <row r="81" spans="1:22" ht="15.75">
      <c r="A81" s="131"/>
      <c r="B81" s="131"/>
      <c r="E81" s="390"/>
      <c r="F81" s="390"/>
      <c r="G81" s="390"/>
      <c r="H81" s="390"/>
      <c r="I81" s="390"/>
      <c r="J81" s="390"/>
      <c r="K81" s="390"/>
      <c r="L81" s="131"/>
      <c r="M81" s="390"/>
      <c r="N81" s="390"/>
      <c r="O81" s="390"/>
      <c r="P81" s="390"/>
      <c r="Q81" s="390"/>
      <c r="R81" s="131"/>
      <c r="S81" s="131"/>
      <c r="T81" s="131"/>
      <c r="U81" s="131"/>
      <c r="V81" s="131"/>
    </row>
    <row r="82" spans="1:22" ht="15.75">
      <c r="A82" s="131"/>
      <c r="B82" s="131"/>
      <c r="E82" s="390"/>
      <c r="F82" s="390"/>
      <c r="G82" s="390"/>
      <c r="H82" s="390"/>
      <c r="I82" s="390"/>
      <c r="J82" s="390"/>
      <c r="K82" s="390"/>
      <c r="L82" s="131"/>
      <c r="M82" s="390"/>
      <c r="N82" s="390"/>
      <c r="O82" s="390"/>
      <c r="P82" s="390"/>
      <c r="Q82" s="390"/>
      <c r="R82" s="131"/>
      <c r="S82" s="131"/>
      <c r="T82" s="131"/>
      <c r="U82" s="131"/>
      <c r="V82" s="131"/>
    </row>
    <row r="83" spans="1:22" ht="15.75">
      <c r="A83" s="131"/>
      <c r="B83" s="131"/>
      <c r="E83" s="390"/>
      <c r="F83" s="390"/>
      <c r="G83" s="390"/>
      <c r="H83" s="390"/>
      <c r="I83" s="390"/>
      <c r="J83" s="390"/>
      <c r="K83" s="390"/>
      <c r="L83" s="131"/>
      <c r="M83" s="390"/>
      <c r="N83" s="390"/>
      <c r="O83" s="390"/>
      <c r="P83" s="390"/>
      <c r="Q83" s="390"/>
      <c r="R83" s="131"/>
      <c r="S83" s="131"/>
      <c r="T83" s="131"/>
      <c r="U83" s="131"/>
      <c r="V83" s="131"/>
    </row>
    <row r="84" spans="1:22" ht="15.75">
      <c r="A84" s="131"/>
      <c r="B84" s="131"/>
      <c r="E84" s="390"/>
      <c r="F84" s="390"/>
      <c r="G84" s="390"/>
      <c r="H84" s="390"/>
      <c r="I84" s="390"/>
      <c r="J84" s="390"/>
      <c r="K84" s="390"/>
      <c r="L84" s="131"/>
      <c r="M84" s="390"/>
      <c r="N84" s="390"/>
      <c r="O84" s="390"/>
      <c r="P84" s="390"/>
      <c r="Q84" s="390"/>
      <c r="R84" s="131"/>
      <c r="S84" s="131"/>
      <c r="T84" s="131"/>
      <c r="U84" s="131"/>
      <c r="V84" s="131"/>
    </row>
    <row r="85" spans="1:22" ht="15.75">
      <c r="A85" s="131"/>
      <c r="B85" s="131"/>
      <c r="E85" s="390"/>
      <c r="F85" s="390"/>
      <c r="G85" s="390"/>
      <c r="H85" s="390"/>
      <c r="I85" s="390"/>
      <c r="J85" s="390"/>
      <c r="K85" s="390"/>
      <c r="L85" s="131"/>
      <c r="M85" s="390"/>
      <c r="N85" s="390"/>
      <c r="O85" s="390"/>
      <c r="P85" s="390"/>
      <c r="Q85" s="390"/>
      <c r="R85" s="131"/>
      <c r="S85" s="131"/>
      <c r="T85" s="131"/>
      <c r="U85" s="131"/>
      <c r="V85" s="131"/>
    </row>
    <row r="86" spans="1:22" ht="15.75">
      <c r="A86" s="131"/>
      <c r="B86" s="131"/>
      <c r="E86" s="390"/>
      <c r="F86" s="390"/>
      <c r="G86" s="390"/>
      <c r="H86" s="390"/>
      <c r="I86" s="390"/>
      <c r="J86" s="390"/>
      <c r="K86" s="390"/>
      <c r="L86" s="131"/>
      <c r="M86" s="390"/>
      <c r="N86" s="390"/>
      <c r="O86" s="390"/>
      <c r="P86" s="390"/>
      <c r="Q86" s="390"/>
      <c r="R86" s="131"/>
      <c r="S86" s="131"/>
      <c r="T86" s="131"/>
      <c r="U86" s="131"/>
      <c r="V86" s="131"/>
    </row>
    <row r="87" spans="1:22" ht="15.75">
      <c r="A87" s="131"/>
      <c r="B87" s="131"/>
      <c r="E87" s="390"/>
      <c r="F87" s="390"/>
      <c r="G87" s="390"/>
      <c r="H87" s="390"/>
      <c r="I87" s="390"/>
      <c r="J87" s="390"/>
      <c r="K87" s="390"/>
      <c r="L87" s="131"/>
      <c r="M87" s="390"/>
      <c r="N87" s="390"/>
      <c r="O87" s="390"/>
      <c r="P87" s="390"/>
      <c r="Q87" s="390"/>
      <c r="R87" s="131"/>
      <c r="S87" s="131"/>
      <c r="T87" s="131"/>
      <c r="U87" s="131"/>
      <c r="V87" s="131"/>
    </row>
    <row r="88" spans="1:22" ht="15.75">
      <c r="A88" s="131"/>
      <c r="B88" s="131"/>
      <c r="E88" s="390"/>
      <c r="F88" s="390"/>
      <c r="G88" s="390"/>
      <c r="H88" s="390"/>
      <c r="I88" s="390"/>
      <c r="J88" s="390"/>
      <c r="K88" s="390"/>
      <c r="L88" s="131"/>
      <c r="M88" s="390"/>
      <c r="N88" s="390"/>
      <c r="O88" s="390"/>
      <c r="P88" s="390"/>
      <c r="Q88" s="390"/>
      <c r="R88" s="131"/>
      <c r="S88" s="131"/>
      <c r="T88" s="131"/>
      <c r="U88" s="131"/>
      <c r="V88" s="131"/>
    </row>
    <row r="89" spans="1:22" ht="15.75">
      <c r="A89" s="131"/>
      <c r="B89" s="131"/>
      <c r="E89" s="390"/>
      <c r="F89" s="390"/>
      <c r="G89" s="390"/>
      <c r="H89" s="390"/>
      <c r="I89" s="390"/>
      <c r="J89" s="390"/>
      <c r="K89" s="390"/>
      <c r="L89" s="131"/>
      <c r="M89" s="390"/>
      <c r="N89" s="390"/>
      <c r="O89" s="390"/>
      <c r="P89" s="390"/>
      <c r="Q89" s="390"/>
      <c r="R89" s="131"/>
      <c r="S89" s="131"/>
      <c r="T89" s="131"/>
      <c r="U89" s="131"/>
      <c r="V89" s="131"/>
    </row>
    <row r="90" spans="1:22" ht="15.75">
      <c r="A90" s="131"/>
      <c r="B90" s="131"/>
      <c r="E90" s="390"/>
      <c r="F90" s="390"/>
      <c r="G90" s="390"/>
      <c r="H90" s="390"/>
      <c r="I90" s="390"/>
      <c r="J90" s="390"/>
      <c r="K90" s="390"/>
      <c r="L90" s="131"/>
      <c r="M90" s="390"/>
      <c r="N90" s="390"/>
      <c r="O90" s="390"/>
      <c r="P90" s="390"/>
      <c r="Q90" s="390"/>
      <c r="R90" s="131"/>
      <c r="S90" s="131"/>
      <c r="T90" s="131"/>
      <c r="U90" s="131"/>
      <c r="V90" s="131"/>
    </row>
    <row r="91" spans="1:22" ht="15.75">
      <c r="A91" s="131"/>
      <c r="B91" s="131"/>
      <c r="E91" s="390"/>
      <c r="F91" s="390"/>
      <c r="G91" s="390"/>
      <c r="H91" s="390"/>
      <c r="I91" s="390"/>
      <c r="J91" s="390"/>
      <c r="K91" s="390"/>
      <c r="L91" s="131"/>
      <c r="M91" s="390"/>
      <c r="N91" s="390"/>
      <c r="O91" s="390"/>
      <c r="P91" s="390"/>
      <c r="Q91" s="390"/>
      <c r="R91" s="131"/>
      <c r="S91" s="131"/>
      <c r="T91" s="131"/>
      <c r="U91" s="131"/>
      <c r="V91" s="131"/>
    </row>
    <row r="92" spans="1:22" ht="15.75">
      <c r="A92" s="131"/>
      <c r="B92" s="131"/>
      <c r="E92" s="390"/>
      <c r="F92" s="390"/>
      <c r="G92" s="390"/>
      <c r="H92" s="390"/>
      <c r="I92" s="390"/>
      <c r="J92" s="390"/>
      <c r="K92" s="390"/>
      <c r="L92" s="131"/>
      <c r="M92" s="390"/>
      <c r="N92" s="390"/>
      <c r="O92" s="390"/>
      <c r="P92" s="390"/>
      <c r="Q92" s="390"/>
      <c r="R92" s="131"/>
      <c r="S92" s="131"/>
      <c r="T92" s="131"/>
      <c r="U92" s="131"/>
      <c r="V92" s="131"/>
    </row>
    <row r="93" spans="1:22" ht="15.75">
      <c r="A93" s="131"/>
      <c r="B93" s="131"/>
      <c r="E93" s="390"/>
      <c r="F93" s="390"/>
      <c r="G93" s="390"/>
      <c r="H93" s="390"/>
      <c r="I93" s="390"/>
      <c r="J93" s="390"/>
      <c r="K93" s="390"/>
      <c r="L93" s="131"/>
      <c r="M93" s="390"/>
      <c r="N93" s="390"/>
      <c r="O93" s="390"/>
      <c r="P93" s="390"/>
      <c r="Q93" s="390"/>
      <c r="R93" s="131"/>
      <c r="S93" s="131"/>
      <c r="T93" s="131"/>
      <c r="U93" s="131"/>
      <c r="V93" s="131"/>
    </row>
    <row r="94" spans="1:22" ht="15.75">
      <c r="A94" s="131"/>
      <c r="B94" s="131"/>
      <c r="E94" s="390"/>
      <c r="F94" s="390"/>
      <c r="G94" s="390"/>
      <c r="H94" s="390"/>
      <c r="I94" s="390"/>
      <c r="J94" s="390"/>
      <c r="K94" s="390"/>
      <c r="L94" s="131"/>
      <c r="M94" s="390"/>
      <c r="N94" s="390"/>
      <c r="O94" s="390"/>
      <c r="P94" s="390"/>
      <c r="Q94" s="390"/>
      <c r="R94" s="131"/>
      <c r="S94" s="131"/>
      <c r="T94" s="131"/>
      <c r="U94" s="131"/>
      <c r="V94" s="131"/>
    </row>
    <row r="95" spans="1:22" ht="15.75">
      <c r="A95" s="131"/>
      <c r="B95" s="131"/>
      <c r="E95" s="390"/>
      <c r="F95" s="390"/>
      <c r="G95" s="390"/>
      <c r="H95" s="390"/>
      <c r="I95" s="390"/>
      <c r="J95" s="390"/>
      <c r="K95" s="390"/>
      <c r="L95" s="131"/>
      <c r="M95" s="390"/>
      <c r="N95" s="390"/>
      <c r="O95" s="390"/>
      <c r="P95" s="390"/>
      <c r="Q95" s="390"/>
      <c r="R95" s="131"/>
      <c r="S95" s="131"/>
      <c r="T95" s="131"/>
      <c r="U95" s="131"/>
      <c r="V95" s="131"/>
    </row>
    <row r="96" spans="1:22" ht="15.75">
      <c r="A96" s="131"/>
      <c r="B96" s="131"/>
      <c r="E96" s="390"/>
      <c r="F96" s="390"/>
      <c r="G96" s="390"/>
      <c r="H96" s="390"/>
      <c r="I96" s="390"/>
      <c r="J96" s="390"/>
      <c r="K96" s="390"/>
      <c r="L96" s="131"/>
      <c r="M96" s="390"/>
      <c r="N96" s="390"/>
      <c r="O96" s="390"/>
      <c r="P96" s="390"/>
      <c r="Q96" s="390"/>
      <c r="R96" s="131"/>
      <c r="S96" s="131"/>
      <c r="T96" s="131"/>
      <c r="U96" s="131"/>
      <c r="V96" s="131"/>
    </row>
    <row r="97" spans="1:22" ht="15.75">
      <c r="A97" s="131"/>
      <c r="B97" s="131"/>
      <c r="E97" s="390"/>
      <c r="F97" s="390"/>
      <c r="G97" s="390"/>
      <c r="H97" s="390"/>
      <c r="I97" s="390"/>
      <c r="J97" s="390"/>
      <c r="K97" s="390"/>
      <c r="L97" s="131"/>
      <c r="M97" s="390"/>
      <c r="N97" s="390"/>
      <c r="O97" s="390"/>
      <c r="P97" s="390"/>
      <c r="Q97" s="390"/>
      <c r="R97" s="131"/>
      <c r="S97" s="131"/>
      <c r="T97" s="131"/>
      <c r="U97" s="131"/>
      <c r="V97" s="131"/>
    </row>
    <row r="98" spans="1:22" ht="15.75">
      <c r="A98" s="131"/>
      <c r="B98" s="131"/>
      <c r="E98" s="390"/>
      <c r="F98" s="390"/>
      <c r="G98" s="390"/>
      <c r="H98" s="390"/>
      <c r="I98" s="390"/>
      <c r="J98" s="390"/>
      <c r="K98" s="390"/>
      <c r="L98" s="131"/>
      <c r="M98" s="390"/>
      <c r="N98" s="390"/>
      <c r="O98" s="390"/>
      <c r="P98" s="390"/>
      <c r="Q98" s="390"/>
      <c r="R98" s="131"/>
      <c r="S98" s="131"/>
      <c r="T98" s="131"/>
      <c r="U98" s="131"/>
      <c r="V98" s="131"/>
    </row>
    <row r="99" spans="1:22" ht="15.75">
      <c r="A99" s="131"/>
      <c r="B99" s="131"/>
      <c r="E99" s="390"/>
      <c r="F99" s="390"/>
      <c r="G99" s="390"/>
      <c r="H99" s="390"/>
      <c r="I99" s="390"/>
      <c r="J99" s="390"/>
      <c r="K99" s="390"/>
      <c r="L99" s="131"/>
      <c r="M99" s="390"/>
      <c r="N99" s="390"/>
      <c r="O99" s="390"/>
      <c r="P99" s="390"/>
      <c r="Q99" s="390"/>
      <c r="R99" s="131"/>
      <c r="S99" s="131"/>
      <c r="T99" s="131"/>
      <c r="U99" s="131"/>
      <c r="V99" s="131"/>
    </row>
    <row r="100" spans="1:22">
      <c r="A100" s="16"/>
      <c r="B100" s="16"/>
      <c r="C100" s="16"/>
      <c r="D100" s="16"/>
      <c r="E100" s="16"/>
      <c r="F100" s="16"/>
      <c r="G100" s="16"/>
      <c r="H100" s="16"/>
      <c r="I100" s="16"/>
      <c r="J100" s="16"/>
      <c r="K100" s="16"/>
      <c r="L100" s="16"/>
      <c r="M100" s="16"/>
      <c r="N100" s="16"/>
      <c r="O100" s="16"/>
      <c r="P100" s="16"/>
      <c r="Q100" s="16"/>
      <c r="R100" s="16"/>
      <c r="S100" s="16"/>
      <c r="T100" s="16"/>
      <c r="U100" s="16"/>
      <c r="V100" s="16"/>
    </row>
    <row r="101" spans="1:22">
      <c r="A101" s="16"/>
      <c r="B101" s="16"/>
      <c r="C101" s="16"/>
      <c r="D101" s="16"/>
      <c r="E101" s="16"/>
      <c r="F101" s="16"/>
      <c r="G101" s="16"/>
      <c r="H101" s="16"/>
      <c r="I101" s="16"/>
      <c r="J101" s="16"/>
      <c r="K101" s="16"/>
      <c r="L101" s="16"/>
      <c r="M101" s="16"/>
      <c r="N101" s="16"/>
      <c r="O101" s="16"/>
      <c r="P101" s="16"/>
      <c r="Q101" s="16"/>
      <c r="R101" s="16"/>
      <c r="S101" s="16"/>
      <c r="T101" s="16"/>
      <c r="U101" s="16"/>
      <c r="V101" s="16"/>
    </row>
    <row r="102" spans="1:22">
      <c r="A102" s="16"/>
      <c r="B102" s="16"/>
      <c r="C102" s="16"/>
      <c r="D102" s="16"/>
      <c r="E102" s="16"/>
      <c r="F102" s="16"/>
      <c r="G102" s="16"/>
      <c r="H102" s="16"/>
      <c r="I102" s="16"/>
      <c r="J102" s="16"/>
      <c r="K102" s="16"/>
      <c r="L102" s="16"/>
      <c r="M102" s="16"/>
      <c r="N102" s="16"/>
      <c r="O102" s="16"/>
      <c r="P102" s="16"/>
      <c r="Q102" s="16"/>
      <c r="R102" s="16"/>
      <c r="S102" s="16"/>
      <c r="T102" s="16"/>
      <c r="U102" s="16"/>
      <c r="V102" s="16"/>
    </row>
    <row r="103" spans="1:22">
      <c r="A103" s="16"/>
      <c r="B103" s="16"/>
      <c r="C103" s="16"/>
      <c r="D103" s="16"/>
      <c r="E103" s="16"/>
      <c r="F103" s="16"/>
      <c r="G103" s="16"/>
      <c r="H103" s="16"/>
      <c r="I103" s="16"/>
      <c r="J103" s="16"/>
      <c r="K103" s="16"/>
      <c r="L103" s="16"/>
      <c r="M103" s="16"/>
      <c r="N103" s="16"/>
      <c r="O103" s="16"/>
      <c r="P103" s="16"/>
      <c r="Q103" s="16"/>
      <c r="R103" s="16"/>
      <c r="S103" s="16"/>
      <c r="T103" s="16"/>
      <c r="U103" s="16"/>
      <c r="V103" s="16"/>
    </row>
    <row r="104" spans="1:22">
      <c r="A104" s="16"/>
      <c r="B104" s="16"/>
      <c r="C104" s="16"/>
      <c r="D104" s="16"/>
      <c r="E104" s="16"/>
      <c r="F104" s="16"/>
      <c r="G104" s="16"/>
      <c r="H104" s="16"/>
      <c r="I104" s="16"/>
      <c r="J104" s="16"/>
      <c r="K104" s="16"/>
      <c r="L104" s="16"/>
      <c r="M104" s="16"/>
      <c r="N104" s="16"/>
      <c r="O104" s="16"/>
      <c r="P104" s="16"/>
      <c r="Q104" s="16"/>
      <c r="R104" s="16"/>
      <c r="S104" s="16"/>
      <c r="T104" s="16"/>
      <c r="U104" s="16"/>
      <c r="V104" s="16"/>
    </row>
    <row r="105" spans="1:22">
      <c r="A105" s="16"/>
      <c r="B105" s="16"/>
      <c r="C105" s="16"/>
      <c r="D105" s="16"/>
      <c r="E105" s="16"/>
      <c r="F105" s="16"/>
      <c r="G105" s="16"/>
      <c r="H105" s="16"/>
      <c r="I105" s="16"/>
      <c r="J105" s="16"/>
      <c r="K105" s="16"/>
      <c r="L105" s="16"/>
      <c r="M105" s="16"/>
      <c r="N105" s="16"/>
      <c r="O105" s="16"/>
      <c r="P105" s="16"/>
      <c r="Q105" s="16"/>
      <c r="R105" s="16"/>
      <c r="S105" s="16"/>
      <c r="T105" s="16"/>
      <c r="U105" s="16"/>
      <c r="V105" s="16"/>
    </row>
    <row r="106" spans="1:22">
      <c r="A106" s="16"/>
      <c r="B106" s="16"/>
      <c r="C106" s="16"/>
      <c r="D106" s="16"/>
      <c r="E106" s="16"/>
      <c r="F106" s="16"/>
      <c r="G106" s="16"/>
      <c r="H106" s="16"/>
      <c r="I106" s="16"/>
      <c r="J106" s="16"/>
      <c r="K106" s="16"/>
      <c r="L106" s="16"/>
      <c r="M106" s="16"/>
      <c r="N106" s="16"/>
      <c r="O106" s="16"/>
      <c r="P106" s="16"/>
      <c r="Q106" s="16"/>
      <c r="R106" s="16"/>
      <c r="S106" s="16"/>
      <c r="T106" s="16"/>
      <c r="U106" s="16"/>
      <c r="V106" s="16"/>
    </row>
    <row r="107" spans="1:22" ht="12.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row>
    <row r="108" spans="1:22" ht="12.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row>
    <row r="109" spans="1:22" ht="12.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row>
    <row r="110" spans="1:22" ht="12.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row>
    <row r="111" spans="1:22" ht="12.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row>
    <row r="112" spans="1:22" ht="12.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row>
    <row r="113" spans="1:22" ht="12.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row>
    <row r="114" spans="1:22" ht="12.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row>
    <row r="115" spans="1:22" ht="12.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row>
    <row r="116" spans="1:22" ht="12.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row>
    <row r="117" spans="1:22" ht="12.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row>
    <row r="118" spans="1:22">
      <c r="A118" s="16"/>
      <c r="B118" s="16"/>
      <c r="C118" s="16"/>
      <c r="D118" s="16"/>
      <c r="E118" s="16"/>
      <c r="F118" s="16"/>
      <c r="G118" s="16"/>
      <c r="H118" s="16"/>
      <c r="I118" s="16"/>
      <c r="J118" s="16"/>
      <c r="K118" s="16"/>
      <c r="L118" s="16"/>
      <c r="M118" s="16"/>
      <c r="N118" s="16"/>
      <c r="O118" s="16"/>
      <c r="P118" s="16"/>
      <c r="Q118" s="16"/>
      <c r="R118" s="16"/>
      <c r="S118" s="16"/>
      <c r="T118" s="16"/>
      <c r="U118" s="16"/>
      <c r="V118" s="16"/>
    </row>
    <row r="119" spans="1:22">
      <c r="A119" s="16"/>
      <c r="B119" s="16"/>
      <c r="C119" s="16"/>
      <c r="D119" s="16"/>
      <c r="E119" s="16"/>
      <c r="F119" s="16"/>
      <c r="G119" s="16"/>
      <c r="H119" s="16"/>
      <c r="I119" s="16"/>
      <c r="J119" s="16"/>
      <c r="K119" s="16"/>
      <c r="L119" s="16"/>
      <c r="M119" s="16"/>
      <c r="N119" s="16"/>
      <c r="O119" s="16"/>
      <c r="P119" s="16"/>
      <c r="Q119" s="16"/>
      <c r="R119" s="16"/>
      <c r="S119" s="16"/>
      <c r="T119" s="16"/>
      <c r="U119" s="16"/>
      <c r="V119" s="16"/>
    </row>
    <row r="120" spans="1:22">
      <c r="A120" s="16"/>
      <c r="B120" s="16"/>
      <c r="C120" s="16"/>
      <c r="D120" s="16"/>
      <c r="E120" s="16"/>
      <c r="F120" s="16"/>
      <c r="G120" s="16"/>
      <c r="H120" s="16"/>
      <c r="I120" s="16"/>
      <c r="J120" s="16"/>
      <c r="K120" s="16"/>
      <c r="L120" s="16"/>
      <c r="M120" s="16"/>
      <c r="N120" s="16"/>
      <c r="O120" s="16"/>
      <c r="P120" s="16"/>
      <c r="Q120" s="16"/>
      <c r="R120" s="16"/>
      <c r="S120" s="16"/>
      <c r="T120" s="16"/>
      <c r="U120" s="16"/>
      <c r="V120" s="16"/>
    </row>
    <row r="121" spans="1:22">
      <c r="A121" s="16"/>
      <c r="B121" s="16"/>
      <c r="C121" s="16"/>
      <c r="D121" s="16"/>
      <c r="E121" s="16"/>
      <c r="F121" s="16"/>
      <c r="G121" s="16"/>
      <c r="H121" s="16"/>
      <c r="I121" s="16"/>
      <c r="J121" s="16"/>
      <c r="K121" s="16"/>
      <c r="L121" s="16"/>
      <c r="M121" s="16"/>
      <c r="N121" s="16"/>
      <c r="O121" s="16"/>
      <c r="P121" s="16"/>
      <c r="Q121" s="16"/>
      <c r="R121" s="16"/>
      <c r="S121" s="16"/>
      <c r="T121" s="16"/>
      <c r="U121" s="16"/>
      <c r="V121" s="16"/>
    </row>
    <row r="122" spans="1:22">
      <c r="A122" s="16"/>
      <c r="B122" s="16"/>
      <c r="C122" s="16"/>
      <c r="D122" s="16"/>
      <c r="E122" s="16"/>
      <c r="F122" s="16"/>
      <c r="G122" s="16"/>
      <c r="H122" s="16"/>
      <c r="I122" s="16"/>
      <c r="J122" s="16"/>
      <c r="K122" s="16"/>
      <c r="L122" s="16"/>
      <c r="M122" s="16"/>
      <c r="N122" s="16"/>
      <c r="O122" s="16"/>
      <c r="P122" s="16"/>
      <c r="Q122" s="16"/>
      <c r="R122" s="16"/>
      <c r="S122" s="16"/>
      <c r="T122" s="16"/>
      <c r="U122" s="16"/>
      <c r="V122" s="16"/>
    </row>
    <row r="123" spans="1:22">
      <c r="A123" s="16"/>
      <c r="B123" s="16"/>
      <c r="C123" s="16"/>
      <c r="D123" s="16"/>
      <c r="E123" s="16"/>
      <c r="F123" s="16"/>
      <c r="G123" s="16"/>
      <c r="H123" s="16"/>
      <c r="I123" s="16"/>
      <c r="J123" s="16"/>
      <c r="K123" s="16"/>
      <c r="L123" s="16"/>
      <c r="M123" s="16"/>
      <c r="N123" s="16"/>
      <c r="O123" s="16"/>
      <c r="P123" s="16"/>
      <c r="Q123" s="16"/>
      <c r="R123" s="16"/>
      <c r="S123" s="16"/>
      <c r="T123" s="16"/>
      <c r="U123" s="16"/>
      <c r="V123" s="16"/>
    </row>
    <row r="124" spans="1:22">
      <c r="A124" s="16"/>
      <c r="B124" s="16"/>
      <c r="C124" s="16"/>
      <c r="D124" s="16"/>
      <c r="E124" s="16"/>
      <c r="F124" s="16"/>
      <c r="G124" s="16"/>
      <c r="H124" s="16"/>
      <c r="I124" s="16"/>
      <c r="J124" s="16"/>
      <c r="K124" s="16"/>
      <c r="L124" s="16"/>
      <c r="M124" s="16"/>
      <c r="N124" s="16"/>
      <c r="O124" s="16"/>
      <c r="P124" s="16"/>
      <c r="Q124" s="16"/>
      <c r="R124" s="16"/>
      <c r="S124" s="16"/>
      <c r="T124" s="16"/>
      <c r="U124" s="16"/>
      <c r="V124" s="16"/>
    </row>
    <row r="125" spans="1:22">
      <c r="A125" s="16"/>
      <c r="B125" s="16"/>
      <c r="C125" s="16"/>
      <c r="D125" s="16"/>
      <c r="E125" s="16"/>
      <c r="F125" s="16"/>
      <c r="G125" s="16"/>
      <c r="H125" s="16"/>
      <c r="I125" s="16"/>
      <c r="J125" s="16"/>
      <c r="K125" s="16"/>
      <c r="L125" s="16"/>
      <c r="M125" s="16"/>
      <c r="N125" s="16"/>
      <c r="O125" s="16"/>
      <c r="P125" s="16"/>
      <c r="Q125" s="16"/>
      <c r="R125" s="16"/>
      <c r="S125" s="16"/>
      <c r="T125" s="16"/>
      <c r="U125" s="16"/>
      <c r="V125" s="16"/>
    </row>
    <row r="126" spans="1:22">
      <c r="A126" s="16"/>
      <c r="B126" s="16"/>
      <c r="C126" s="16"/>
      <c r="D126" s="16"/>
      <c r="E126" s="16"/>
      <c r="F126" s="16"/>
      <c r="G126" s="16"/>
      <c r="H126" s="16"/>
      <c r="I126" s="16"/>
      <c r="J126" s="16"/>
      <c r="K126" s="16"/>
      <c r="L126" s="16"/>
      <c r="M126" s="16"/>
      <c r="N126" s="16"/>
      <c r="O126" s="16"/>
      <c r="P126" s="16"/>
      <c r="Q126" s="16"/>
      <c r="R126" s="16"/>
      <c r="S126" s="16"/>
      <c r="T126" s="16"/>
      <c r="U126" s="16"/>
      <c r="V126" s="16"/>
    </row>
    <row r="127" spans="1:22">
      <c r="A127" s="16"/>
      <c r="B127" s="16"/>
      <c r="C127" s="16"/>
      <c r="D127" s="16"/>
      <c r="E127" s="16"/>
      <c r="F127" s="16"/>
      <c r="G127" s="16"/>
      <c r="H127" s="16"/>
      <c r="I127" s="16"/>
      <c r="J127" s="16"/>
      <c r="K127" s="16"/>
      <c r="L127" s="16"/>
      <c r="M127" s="16"/>
      <c r="N127" s="16"/>
      <c r="O127" s="16"/>
      <c r="P127" s="16"/>
      <c r="Q127" s="16"/>
      <c r="R127" s="16"/>
      <c r="S127" s="16"/>
      <c r="T127" s="16"/>
      <c r="U127" s="16"/>
      <c r="V127" s="16"/>
    </row>
    <row r="128" spans="1:22">
      <c r="A128" s="16"/>
      <c r="B128" s="16"/>
      <c r="C128" s="16"/>
      <c r="D128" s="16"/>
      <c r="E128" s="16"/>
      <c r="F128" s="16"/>
      <c r="G128" s="16"/>
      <c r="H128" s="16"/>
      <c r="I128" s="16"/>
      <c r="J128" s="16"/>
      <c r="K128" s="16"/>
      <c r="L128" s="16"/>
      <c r="M128" s="16"/>
      <c r="N128" s="16"/>
      <c r="O128" s="16"/>
      <c r="P128" s="16"/>
      <c r="Q128" s="16"/>
      <c r="R128" s="16"/>
      <c r="S128" s="16"/>
      <c r="T128" s="16"/>
      <c r="U128" s="16"/>
      <c r="V128" s="16"/>
    </row>
    <row r="129" spans="1:22">
      <c r="A129" s="16"/>
      <c r="B129" s="16"/>
      <c r="C129" s="16"/>
      <c r="D129" s="16"/>
      <c r="E129" s="16"/>
      <c r="F129" s="16"/>
      <c r="G129" s="16"/>
      <c r="H129" s="16"/>
      <c r="I129" s="16"/>
      <c r="J129" s="16"/>
      <c r="K129" s="16"/>
      <c r="L129" s="16"/>
      <c r="M129" s="16"/>
      <c r="N129" s="16"/>
      <c r="O129" s="16"/>
      <c r="P129" s="16"/>
      <c r="Q129" s="16"/>
      <c r="R129" s="16"/>
      <c r="S129" s="16"/>
      <c r="T129" s="16"/>
      <c r="U129" s="16"/>
      <c r="V129" s="16"/>
    </row>
    <row r="130" spans="1:22">
      <c r="A130" s="16"/>
      <c r="B130" s="16"/>
      <c r="C130" s="16"/>
      <c r="D130" s="16"/>
      <c r="E130" s="16"/>
      <c r="F130" s="16"/>
      <c r="G130" s="16"/>
      <c r="H130" s="16"/>
      <c r="I130" s="16"/>
      <c r="J130" s="16"/>
      <c r="K130" s="16"/>
      <c r="L130" s="16"/>
      <c r="M130" s="16"/>
      <c r="N130" s="16"/>
      <c r="O130" s="16"/>
      <c r="P130" s="16"/>
      <c r="Q130" s="16"/>
      <c r="R130" s="16"/>
      <c r="S130" s="16"/>
      <c r="T130" s="16"/>
      <c r="U130" s="16"/>
      <c r="V130" s="16"/>
    </row>
    <row r="131" spans="1:22">
      <c r="A131" s="16"/>
      <c r="B131" s="16"/>
      <c r="C131" s="16"/>
      <c r="D131" s="16"/>
      <c r="E131" s="16"/>
      <c r="F131" s="16"/>
      <c r="G131" s="16"/>
      <c r="H131" s="16"/>
      <c r="I131" s="16"/>
      <c r="J131" s="16"/>
      <c r="K131" s="16"/>
      <c r="L131" s="16"/>
      <c r="M131" s="16"/>
      <c r="N131" s="16"/>
      <c r="O131" s="16"/>
      <c r="P131" s="16"/>
      <c r="Q131" s="16"/>
      <c r="R131" s="16"/>
      <c r="S131" s="16"/>
      <c r="T131" s="16"/>
      <c r="U131" s="16"/>
      <c r="V131" s="16"/>
    </row>
    <row r="132" spans="1:22">
      <c r="A132" s="16"/>
      <c r="B132" s="16"/>
      <c r="C132" s="16"/>
      <c r="D132" s="16"/>
      <c r="E132" s="16"/>
      <c r="F132" s="16"/>
      <c r="G132" s="16"/>
      <c r="H132" s="16"/>
      <c r="I132" s="16"/>
      <c r="J132" s="16"/>
      <c r="K132" s="16"/>
      <c r="L132" s="16"/>
      <c r="M132" s="16"/>
      <c r="N132" s="16"/>
      <c r="O132" s="16"/>
      <c r="P132" s="16"/>
      <c r="Q132" s="16"/>
      <c r="R132" s="16"/>
      <c r="S132" s="16"/>
      <c r="T132" s="16"/>
      <c r="U132" s="16"/>
      <c r="V132" s="16"/>
    </row>
    <row r="133" spans="1:22">
      <c r="A133" s="16"/>
      <c r="B133" s="16"/>
      <c r="C133" s="16"/>
      <c r="D133" s="16"/>
      <c r="E133" s="16"/>
      <c r="F133" s="16"/>
      <c r="G133" s="16"/>
      <c r="H133" s="16"/>
      <c r="I133" s="16"/>
      <c r="J133" s="16"/>
      <c r="K133" s="16"/>
      <c r="L133" s="16"/>
      <c r="M133" s="16"/>
      <c r="N133" s="16"/>
      <c r="O133" s="16"/>
      <c r="P133" s="16"/>
      <c r="Q133" s="16"/>
      <c r="R133" s="16"/>
      <c r="S133" s="16"/>
      <c r="T133" s="16"/>
      <c r="U133" s="16"/>
      <c r="V133" s="16"/>
    </row>
    <row r="134" spans="1:22">
      <c r="A134" s="16"/>
      <c r="B134" s="16"/>
      <c r="C134" s="16"/>
      <c r="D134" s="16"/>
      <c r="E134" s="16"/>
      <c r="F134" s="16"/>
      <c r="G134" s="16"/>
      <c r="H134" s="16"/>
      <c r="I134" s="16"/>
      <c r="J134" s="16"/>
      <c r="K134" s="16"/>
      <c r="L134" s="16"/>
      <c r="M134" s="16"/>
      <c r="N134" s="16"/>
      <c r="O134" s="16"/>
      <c r="P134" s="16"/>
      <c r="Q134" s="16"/>
      <c r="R134" s="16"/>
      <c r="S134" s="16"/>
      <c r="T134" s="16"/>
      <c r="U134" s="16"/>
      <c r="V134" s="16"/>
    </row>
    <row r="135" spans="1:22">
      <c r="A135" s="16"/>
      <c r="B135" s="16"/>
      <c r="C135" s="16"/>
      <c r="D135" s="16"/>
      <c r="E135" s="16"/>
      <c r="F135" s="16"/>
      <c r="G135" s="16"/>
      <c r="H135" s="16"/>
      <c r="I135" s="16"/>
      <c r="J135" s="16"/>
      <c r="K135" s="16"/>
      <c r="L135" s="16"/>
      <c r="M135" s="16"/>
      <c r="N135" s="16"/>
      <c r="O135" s="16"/>
      <c r="P135" s="16"/>
      <c r="Q135" s="16"/>
      <c r="R135" s="16"/>
      <c r="S135" s="16"/>
      <c r="T135" s="16"/>
      <c r="U135" s="16"/>
      <c r="V135" s="16"/>
    </row>
    <row r="136" spans="1:22">
      <c r="A136" s="16"/>
      <c r="B136" s="16"/>
      <c r="C136" s="16"/>
      <c r="D136" s="16"/>
      <c r="E136" s="16"/>
      <c r="F136" s="16"/>
      <c r="G136" s="16"/>
      <c r="H136" s="16"/>
      <c r="I136" s="16"/>
      <c r="J136" s="16"/>
      <c r="K136" s="16"/>
      <c r="L136" s="16"/>
      <c r="M136" s="16"/>
      <c r="N136" s="16"/>
      <c r="O136" s="16"/>
      <c r="P136" s="16"/>
      <c r="Q136" s="16"/>
      <c r="R136" s="16"/>
      <c r="S136" s="16"/>
      <c r="T136" s="16"/>
      <c r="U136" s="16"/>
      <c r="V136" s="16"/>
    </row>
    <row r="137" spans="1:22">
      <c r="A137" s="16"/>
      <c r="B137" s="16"/>
      <c r="C137" s="16"/>
      <c r="D137" s="16"/>
      <c r="E137" s="16"/>
      <c r="F137" s="16"/>
      <c r="G137" s="16"/>
      <c r="H137" s="16"/>
      <c r="I137" s="16"/>
      <c r="J137" s="16"/>
      <c r="K137" s="16"/>
      <c r="L137" s="16"/>
      <c r="M137" s="16"/>
      <c r="N137" s="16"/>
      <c r="O137" s="16"/>
      <c r="P137" s="16"/>
      <c r="Q137" s="16"/>
      <c r="R137" s="16"/>
      <c r="S137" s="16"/>
      <c r="T137" s="16"/>
      <c r="U137" s="16"/>
      <c r="V137" s="16"/>
    </row>
    <row r="138" spans="1:22" ht="12.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row>
    <row r="139" spans="1:22" ht="12.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row>
    <row r="140" spans="1:22" ht="12.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row>
    <row r="141" spans="1:22">
      <c r="A141" s="16"/>
      <c r="B141" s="16"/>
      <c r="C141" s="16"/>
      <c r="D141" s="16"/>
      <c r="E141" s="16"/>
      <c r="F141" s="16"/>
      <c r="G141" s="16"/>
      <c r="H141" s="16"/>
      <c r="I141" s="16"/>
      <c r="J141" s="16"/>
      <c r="K141" s="16"/>
      <c r="L141" s="16"/>
      <c r="M141" s="16"/>
      <c r="N141" s="16"/>
      <c r="O141" s="16"/>
      <c r="P141" s="16"/>
      <c r="Q141" s="16"/>
      <c r="R141" s="16"/>
      <c r="S141" s="16"/>
      <c r="T141" s="16"/>
      <c r="U141" s="16"/>
      <c r="V141" s="16"/>
    </row>
    <row r="142" spans="1:22">
      <c r="A142" s="16"/>
      <c r="B142" s="16"/>
      <c r="C142" s="16"/>
      <c r="D142" s="16"/>
      <c r="E142" s="16"/>
      <c r="F142" s="16"/>
      <c r="G142" s="16"/>
      <c r="H142" s="16"/>
      <c r="I142" s="16"/>
      <c r="J142" s="16"/>
      <c r="K142" s="16"/>
      <c r="L142" s="16"/>
      <c r="M142" s="16"/>
      <c r="N142" s="16"/>
      <c r="O142" s="16"/>
      <c r="P142" s="16"/>
      <c r="Q142" s="16"/>
      <c r="R142" s="16"/>
      <c r="S142" s="16"/>
      <c r="T142" s="16"/>
      <c r="U142" s="16"/>
      <c r="V142" s="16"/>
    </row>
    <row r="143" spans="1:22">
      <c r="A143" s="16"/>
      <c r="B143" s="16"/>
      <c r="C143" s="16"/>
      <c r="D143" s="16"/>
      <c r="E143" s="16"/>
      <c r="F143" s="16"/>
      <c r="G143" s="16"/>
      <c r="H143" s="16"/>
      <c r="I143" s="16"/>
      <c r="J143" s="16"/>
      <c r="K143" s="16"/>
      <c r="L143" s="16"/>
      <c r="M143" s="16"/>
      <c r="N143" s="16"/>
      <c r="O143" s="16"/>
      <c r="P143" s="16"/>
      <c r="Q143" s="16"/>
      <c r="R143" s="16"/>
      <c r="S143" s="16"/>
      <c r="T143" s="16"/>
      <c r="U143" s="16"/>
      <c r="V143" s="16"/>
    </row>
    <row r="144" spans="1:22">
      <c r="A144" s="16"/>
      <c r="B144" s="16"/>
      <c r="C144" s="16"/>
      <c r="D144" s="16"/>
      <c r="E144" s="16"/>
      <c r="F144" s="16"/>
      <c r="G144" s="16"/>
      <c r="H144" s="16"/>
      <c r="I144" s="16"/>
      <c r="J144" s="16"/>
      <c r="K144" s="16"/>
      <c r="L144" s="16"/>
      <c r="M144" s="16"/>
      <c r="N144" s="16"/>
      <c r="O144" s="16"/>
      <c r="P144" s="16"/>
      <c r="Q144" s="16"/>
      <c r="R144" s="16"/>
      <c r="S144" s="16"/>
      <c r="T144" s="16"/>
      <c r="U144" s="16"/>
      <c r="V144" s="16"/>
    </row>
    <row r="145" spans="1:22">
      <c r="A145" s="16"/>
      <c r="B145" s="16"/>
      <c r="C145" s="16"/>
      <c r="D145" s="16"/>
      <c r="E145" s="16"/>
      <c r="F145" s="16"/>
      <c r="G145" s="16"/>
      <c r="H145" s="16"/>
      <c r="I145" s="16"/>
      <c r="J145" s="16"/>
      <c r="K145" s="16"/>
      <c r="L145" s="16"/>
      <c r="M145" s="16"/>
      <c r="N145" s="16"/>
      <c r="O145" s="16"/>
      <c r="P145" s="16"/>
      <c r="Q145" s="16"/>
      <c r="R145" s="16"/>
      <c r="S145" s="16"/>
      <c r="T145" s="16"/>
      <c r="U145" s="16"/>
      <c r="V145" s="16"/>
    </row>
    <row r="146" spans="1:22">
      <c r="A146" s="16"/>
      <c r="B146" s="16"/>
      <c r="C146" s="16"/>
      <c r="D146" s="16"/>
      <c r="E146" s="16"/>
      <c r="F146" s="16"/>
      <c r="G146" s="16"/>
      <c r="H146" s="16"/>
      <c r="I146" s="16"/>
      <c r="J146" s="16"/>
      <c r="K146" s="16"/>
      <c r="L146" s="16"/>
      <c r="M146" s="16"/>
      <c r="N146" s="16"/>
      <c r="O146" s="16"/>
      <c r="P146" s="16"/>
      <c r="Q146" s="16"/>
      <c r="R146" s="16"/>
      <c r="S146" s="16"/>
      <c r="T146" s="16"/>
      <c r="U146" s="16"/>
      <c r="V146" s="16"/>
    </row>
    <row r="147" spans="1:22">
      <c r="A147" s="16"/>
      <c r="B147" s="16"/>
      <c r="C147" s="16"/>
      <c r="D147" s="16"/>
      <c r="E147" s="16"/>
      <c r="F147" s="16"/>
      <c r="G147" s="16"/>
      <c r="H147" s="16"/>
      <c r="I147" s="16"/>
      <c r="J147" s="16"/>
      <c r="K147" s="16"/>
      <c r="L147" s="16"/>
      <c r="M147" s="16"/>
      <c r="N147" s="16"/>
      <c r="O147" s="16"/>
      <c r="P147" s="16"/>
      <c r="Q147" s="16"/>
      <c r="R147" s="16"/>
      <c r="S147" s="16"/>
      <c r="T147" s="16"/>
      <c r="U147" s="16"/>
      <c r="V147" s="16"/>
    </row>
    <row r="148" spans="1:22">
      <c r="A148" s="16"/>
      <c r="B148" s="16"/>
      <c r="C148" s="16"/>
      <c r="D148" s="16"/>
      <c r="E148" s="16"/>
      <c r="F148" s="16"/>
      <c r="G148" s="16"/>
      <c r="H148" s="16"/>
      <c r="I148" s="16"/>
      <c r="J148" s="16"/>
      <c r="K148" s="16"/>
      <c r="L148" s="16"/>
      <c r="M148" s="16"/>
      <c r="N148" s="16"/>
      <c r="O148" s="16"/>
      <c r="P148" s="16"/>
      <c r="Q148" s="16"/>
      <c r="R148" s="16"/>
      <c r="S148" s="16"/>
      <c r="T148" s="16"/>
      <c r="U148" s="16"/>
      <c r="V148" s="16"/>
    </row>
    <row r="149" spans="1:22">
      <c r="A149" s="16"/>
      <c r="B149" s="16"/>
      <c r="C149" s="16"/>
      <c r="D149" s="16"/>
      <c r="E149" s="16"/>
      <c r="F149" s="16"/>
      <c r="G149" s="16"/>
      <c r="H149" s="16"/>
      <c r="I149" s="16"/>
      <c r="J149" s="16"/>
      <c r="K149" s="16"/>
      <c r="L149" s="16"/>
      <c r="M149" s="16"/>
      <c r="N149" s="16"/>
      <c r="O149" s="16"/>
      <c r="P149" s="16"/>
      <c r="Q149" s="16"/>
      <c r="R149" s="16"/>
      <c r="S149" s="16"/>
      <c r="T149" s="16"/>
      <c r="U149" s="16"/>
      <c r="V149" s="16"/>
    </row>
    <row r="150" spans="1:22">
      <c r="A150" s="16"/>
      <c r="B150" s="16"/>
      <c r="C150" s="16"/>
      <c r="D150" s="16"/>
      <c r="E150" s="16"/>
      <c r="F150" s="16"/>
      <c r="G150" s="16"/>
      <c r="H150" s="16"/>
      <c r="I150" s="16"/>
      <c r="J150" s="16"/>
      <c r="K150" s="16"/>
      <c r="L150" s="16"/>
      <c r="M150" s="16"/>
      <c r="N150" s="16"/>
      <c r="O150" s="16"/>
      <c r="P150" s="16"/>
      <c r="Q150" s="16"/>
      <c r="R150" s="16"/>
      <c r="S150" s="16"/>
      <c r="T150" s="16"/>
      <c r="U150" s="16"/>
      <c r="V150" s="16"/>
    </row>
    <row r="151" spans="1:22">
      <c r="A151" s="16"/>
      <c r="B151" s="16"/>
      <c r="C151" s="16"/>
      <c r="D151" s="16"/>
      <c r="E151" s="16"/>
      <c r="F151" s="16"/>
      <c r="G151" s="16"/>
      <c r="H151" s="16"/>
      <c r="I151" s="16"/>
      <c r="J151" s="16"/>
      <c r="K151" s="16"/>
      <c r="L151" s="16"/>
      <c r="M151" s="16"/>
      <c r="N151" s="16"/>
      <c r="O151" s="16"/>
      <c r="P151" s="16"/>
      <c r="Q151" s="16"/>
      <c r="R151" s="16"/>
      <c r="S151" s="16"/>
      <c r="T151" s="16"/>
      <c r="U151" s="16"/>
      <c r="V151" s="16"/>
    </row>
  </sheetData>
  <mergeCells count="8">
    <mergeCell ref="B36:J37"/>
    <mergeCell ref="B29:G30"/>
    <mergeCell ref="A8:K8"/>
    <mergeCell ref="B11:H11"/>
    <mergeCell ref="A3:K3"/>
    <mergeCell ref="A4:K4"/>
    <mergeCell ref="A5:K5"/>
    <mergeCell ref="A6:K6"/>
  </mergeCells>
  <phoneticPr fontId="0" type="noConversion"/>
  <pageMargins left="0.26" right="1.28" top="1" bottom="1" header="0.75" footer="0.5"/>
  <pageSetup scale="83" orientation="landscape" r:id="rId1"/>
  <headerFooter alignWithMargins="0">
    <oddHeader>&amp;R&amp;"Arial,Bold"Formula Rate 
&amp;A
Page &amp;P of &amp;N</oddHeader>
  </headerFooter>
  <rowBreaks count="1" manualBreakCount="1">
    <brk id="102"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S75"/>
  <sheetViews>
    <sheetView topLeftCell="A39" zoomScale="75" workbookViewId="0">
      <selection activeCell="D67" sqref="D67"/>
    </sheetView>
  </sheetViews>
  <sheetFormatPr defaultRowHeight="15"/>
  <cols>
    <col min="1" max="1" width="10.42578125" style="33" customWidth="1"/>
    <col min="2" max="2" width="15.140625" style="8" customWidth="1"/>
    <col min="3" max="3" width="57.7109375" style="5" customWidth="1"/>
    <col min="4" max="4" width="15.7109375" style="5" customWidth="1"/>
    <col min="5" max="5" width="20.7109375" style="5" customWidth="1"/>
    <col min="6" max="6" width="17.28515625" style="5" customWidth="1"/>
    <col min="7" max="7" width="41.85546875" style="5" customWidth="1"/>
    <col min="8" max="8" width="13.85546875" style="5" customWidth="1"/>
    <col min="9" max="9" width="9.140625" style="5"/>
    <col min="10" max="10" width="12.42578125" style="5" bestFit="1" customWidth="1"/>
    <col min="11" max="11" width="13.28515625" style="5" customWidth="1"/>
    <col min="12" max="16384" width="9.140625" style="5"/>
  </cols>
  <sheetData>
    <row r="1" spans="1:11" ht="15.75">
      <c r="A1" s="696" t="s">
        <v>414</v>
      </c>
    </row>
    <row r="2" spans="1:11" ht="15.75">
      <c r="A2" s="696" t="s">
        <v>414</v>
      </c>
    </row>
    <row r="3" spans="1:11">
      <c r="A3" s="1141" t="str">
        <f>TCOS!$F$5</f>
        <v>AEPTCo subsidiaries in PJM</v>
      </c>
      <c r="B3" s="1141" t="str">
        <f>TCOS!$F$5</f>
        <v>AEPTCo subsidiaries in PJM</v>
      </c>
      <c r="C3" s="1141" t="str">
        <f>TCOS!$F$5</f>
        <v>AEPTCo subsidiaries in PJM</v>
      </c>
      <c r="D3" s="1141" t="str">
        <f>TCOS!$F$5</f>
        <v>AEPTCo subsidiaries in PJM</v>
      </c>
      <c r="E3" s="1141" t="str">
        <f>TCOS!$F$5</f>
        <v>AEPTCo subsidiaries in PJM</v>
      </c>
      <c r="F3" s="1141" t="str">
        <f>TCOS!$F$5</f>
        <v>AEPTCo subsidiaries in PJM</v>
      </c>
      <c r="G3" s="1141" t="str">
        <f>TCOS!$F$5</f>
        <v>AEPTCo subsidiaries in PJM</v>
      </c>
      <c r="H3" s="17"/>
    </row>
    <row r="4" spans="1:11" ht="12.75" customHeight="1">
      <c r="A4" s="1142" t="str">
        <f>"Cost of Service Formula Rate Using Actual/Projected FF1 Balances"</f>
        <v>Cost of Service Formula Rate Using Actual/Projected FF1 Balances</v>
      </c>
      <c r="B4" s="1142"/>
      <c r="C4" s="1142"/>
      <c r="D4" s="1142"/>
      <c r="E4" s="1142"/>
      <c r="F4" s="1142"/>
      <c r="G4" s="1142"/>
      <c r="H4" s="44"/>
      <c r="I4" s="44"/>
      <c r="J4" s="44"/>
      <c r="K4" s="44"/>
    </row>
    <row r="5" spans="1:11" ht="12.75" customHeight="1">
      <c r="A5" s="1142" t="s">
        <v>286</v>
      </c>
      <c r="B5" s="1142"/>
      <c r="C5" s="1142"/>
      <c r="D5" s="1142"/>
      <c r="E5" s="1142"/>
      <c r="F5" s="1142"/>
      <c r="G5" s="1142"/>
    </row>
    <row r="6" spans="1:11" ht="12.75" customHeight="1">
      <c r="A6" s="1152" t="str">
        <f>TCOS!F9</f>
        <v>AEP Kentucky Transmission Company</v>
      </c>
      <c r="B6" s="1152"/>
      <c r="C6" s="1152"/>
      <c r="D6" s="1152"/>
      <c r="E6" s="1152"/>
      <c r="F6" s="1152"/>
      <c r="G6" s="1152"/>
    </row>
    <row r="7" spans="1:11" ht="12.75" customHeight="1">
      <c r="A7" s="1141"/>
      <c r="B7" s="1141"/>
      <c r="C7" s="1141"/>
      <c r="D7" s="1141"/>
      <c r="E7" s="1141"/>
      <c r="F7" s="1141"/>
      <c r="G7" s="21"/>
    </row>
    <row r="8" spans="1:11" ht="18">
      <c r="A8" s="1177"/>
      <c r="B8" s="1177"/>
      <c r="C8" s="1177"/>
      <c r="D8" s="1177"/>
      <c r="E8" s="1177"/>
      <c r="F8" s="1177"/>
      <c r="G8" s="1177"/>
    </row>
    <row r="9" spans="1:11" ht="18">
      <c r="A9" s="67"/>
      <c r="B9" s="67"/>
      <c r="C9" s="67"/>
      <c r="D9" s="67"/>
      <c r="E9" s="67"/>
      <c r="F9" s="67"/>
      <c r="G9" s="67"/>
    </row>
    <row r="10" spans="1:11" ht="15.75">
      <c r="B10" s="15" t="s">
        <v>460</v>
      </c>
      <c r="C10" s="15" t="s">
        <v>461</v>
      </c>
      <c r="D10" s="15" t="s">
        <v>462</v>
      </c>
      <c r="E10" s="15" t="s">
        <v>463</v>
      </c>
      <c r="F10" s="15" t="s">
        <v>383</v>
      </c>
      <c r="G10" s="15" t="s">
        <v>384</v>
      </c>
    </row>
    <row r="11" spans="1:11" ht="15.75">
      <c r="B11" s="25"/>
      <c r="C11" s="21"/>
      <c r="D11" s="77"/>
      <c r="E11" s="78"/>
      <c r="F11" s="79" t="s">
        <v>386</v>
      </c>
      <c r="G11" s="15"/>
    </row>
    <row r="12" spans="1:11" ht="15.75">
      <c r="A12" s="28" t="s">
        <v>467</v>
      </c>
      <c r="B12" s="25"/>
      <c r="C12" s="34"/>
      <c r="D12" s="28">
        <f>+TCOS!L4</f>
        <v>2026</v>
      </c>
      <c r="E12" s="79" t="s">
        <v>386</v>
      </c>
      <c r="F12" s="28" t="s">
        <v>415</v>
      </c>
      <c r="G12" s="15"/>
    </row>
    <row r="13" spans="1:11" ht="15.75">
      <c r="A13" s="28" t="s">
        <v>405</v>
      </c>
      <c r="B13" s="28" t="s">
        <v>368</v>
      </c>
      <c r="C13" s="28" t="s">
        <v>465</v>
      </c>
      <c r="D13" s="28" t="s">
        <v>369</v>
      </c>
      <c r="E13" s="28" t="s">
        <v>388</v>
      </c>
      <c r="F13" s="28" t="s">
        <v>370</v>
      </c>
      <c r="G13" s="28" t="s">
        <v>371</v>
      </c>
    </row>
    <row r="14" spans="1:11" ht="15.75">
      <c r="A14" s="27"/>
      <c r="B14" s="28"/>
      <c r="C14" s="28"/>
      <c r="D14" s="28"/>
      <c r="E14" s="28"/>
      <c r="F14" s="28"/>
      <c r="G14" s="28"/>
    </row>
    <row r="15" spans="1:11" ht="15.75">
      <c r="A15" s="27"/>
      <c r="B15" s="28"/>
      <c r="C15" s="28"/>
      <c r="D15" s="28"/>
      <c r="E15" s="28"/>
      <c r="F15" s="28"/>
      <c r="G15" s="28"/>
    </row>
    <row r="16" spans="1:11" ht="15.75">
      <c r="A16" s="27"/>
      <c r="B16" s="28"/>
      <c r="D16" s="28"/>
      <c r="E16" s="28"/>
      <c r="F16" s="28"/>
      <c r="G16" s="28"/>
    </row>
    <row r="17" spans="1:7" ht="15.75">
      <c r="A17" s="27"/>
      <c r="B17" s="28"/>
      <c r="C17" s="28" t="s">
        <v>292</v>
      </c>
      <c r="D17" s="19"/>
      <c r="E17" s="19"/>
      <c r="F17" s="19"/>
      <c r="G17" s="42"/>
    </row>
    <row r="18" spans="1:7">
      <c r="A18" s="27">
        <v>1</v>
      </c>
      <c r="B18" s="659"/>
      <c r="C18" s="393"/>
      <c r="D18" s="392"/>
      <c r="E18" s="40"/>
      <c r="F18" s="40"/>
      <c r="G18" s="18"/>
    </row>
    <row r="19" spans="1:7">
      <c r="A19" s="27">
        <f>+A18+1</f>
        <v>2</v>
      </c>
      <c r="B19" s="660"/>
      <c r="C19" s="661"/>
      <c r="D19" s="392"/>
      <c r="E19" s="40"/>
      <c r="F19" s="40"/>
      <c r="G19" s="18"/>
    </row>
    <row r="20" spans="1:7" ht="15.75">
      <c r="A20" s="27">
        <f>+A19+1</f>
        <v>3</v>
      </c>
      <c r="B20" s="662"/>
      <c r="C20" s="393"/>
      <c r="D20" s="392"/>
      <c r="E20" s="40"/>
      <c r="F20" s="40"/>
      <c r="G20" s="18"/>
    </row>
    <row r="21" spans="1:7" ht="15.75">
      <c r="A21" s="27">
        <f>+A20+1</f>
        <v>4</v>
      </c>
      <c r="B21" s="28"/>
      <c r="C21" s="91" t="s">
        <v>418</v>
      </c>
      <c r="D21" s="35">
        <f>SUM(D18:D20)</f>
        <v>0</v>
      </c>
      <c r="E21" s="40"/>
      <c r="F21" s="40"/>
      <c r="G21" s="28"/>
    </row>
    <row r="22" spans="1:7" ht="15.75">
      <c r="A22" s="27"/>
      <c r="B22" s="28"/>
      <c r="C22" s="91"/>
      <c r="D22" s="97"/>
      <c r="E22" s="19"/>
      <c r="F22" s="19"/>
      <c r="G22" s="28"/>
    </row>
    <row r="23" spans="1:7" ht="15.75">
      <c r="A23" s="7"/>
      <c r="B23" s="28"/>
      <c r="C23" s="28" t="s">
        <v>199</v>
      </c>
      <c r="D23" s="103"/>
      <c r="E23" s="19"/>
      <c r="F23" s="19"/>
      <c r="G23" s="28"/>
    </row>
    <row r="24" spans="1:7" ht="15.75">
      <c r="A24" s="27">
        <f>+A21+1</f>
        <v>5</v>
      </c>
      <c r="B24" s="7"/>
      <c r="C24" s="109"/>
      <c r="D24" s="879"/>
      <c r="E24" s="19"/>
      <c r="F24" s="19"/>
      <c r="G24" s="28"/>
    </row>
    <row r="25" spans="1:7" ht="15.75">
      <c r="A25" s="110">
        <f>+A24+1</f>
        <v>6</v>
      </c>
      <c r="B25" s="7" t="s">
        <v>185</v>
      </c>
      <c r="C25" s="7" t="s">
        <v>182</v>
      </c>
      <c r="D25" s="392">
        <v>0</v>
      </c>
      <c r="E25" s="19"/>
      <c r="F25" s="19"/>
      <c r="G25" s="28"/>
    </row>
    <row r="26" spans="1:7" ht="15.75">
      <c r="A26" s="27">
        <f>+A25+1</f>
        <v>7</v>
      </c>
      <c r="B26" s="109" t="s">
        <v>186</v>
      </c>
      <c r="C26" s="109" t="s">
        <v>183</v>
      </c>
      <c r="D26" s="392">
        <v>92429.703529725666</v>
      </c>
      <c r="E26" s="19"/>
      <c r="F26" s="19"/>
      <c r="G26" s="28"/>
    </row>
    <row r="27" spans="1:7" ht="15.75">
      <c r="A27" s="110">
        <f t="shared" ref="A27:A32" si="0">+A26+1</f>
        <v>8</v>
      </c>
      <c r="B27" s="7" t="s">
        <v>187</v>
      </c>
      <c r="C27" s="7" t="s">
        <v>184</v>
      </c>
      <c r="D27" s="392">
        <v>0</v>
      </c>
      <c r="E27" s="19"/>
      <c r="F27" s="19"/>
      <c r="G27" s="28"/>
    </row>
    <row r="28" spans="1:7" ht="15.75">
      <c r="A28" s="27">
        <f t="shared" si="0"/>
        <v>9</v>
      </c>
      <c r="B28" s="109" t="s">
        <v>188</v>
      </c>
      <c r="C28" s="109" t="s">
        <v>192</v>
      </c>
      <c r="D28" s="392">
        <v>0</v>
      </c>
      <c r="E28" s="19"/>
      <c r="F28" s="19"/>
      <c r="G28" s="28"/>
    </row>
    <row r="29" spans="1:7" ht="15.75">
      <c r="A29" s="110">
        <f t="shared" si="0"/>
        <v>10</v>
      </c>
      <c r="B29" s="7" t="s">
        <v>189</v>
      </c>
      <c r="C29" s="7" t="s">
        <v>195</v>
      </c>
      <c r="D29" s="392">
        <v>14477.1373169697</v>
      </c>
      <c r="E29" s="19"/>
      <c r="F29" s="19"/>
      <c r="G29" s="28"/>
    </row>
    <row r="30" spans="1:7" ht="15.75">
      <c r="A30" s="27">
        <f t="shared" si="0"/>
        <v>11</v>
      </c>
      <c r="B30" s="109" t="s">
        <v>190</v>
      </c>
      <c r="C30" s="109" t="s">
        <v>196</v>
      </c>
      <c r="D30" s="392">
        <v>0</v>
      </c>
      <c r="E30" s="19"/>
      <c r="F30" s="19"/>
      <c r="G30" s="28"/>
    </row>
    <row r="31" spans="1:7" ht="15.75">
      <c r="A31" s="110">
        <f t="shared" si="0"/>
        <v>12</v>
      </c>
      <c r="B31" s="7" t="s">
        <v>191</v>
      </c>
      <c r="C31" s="7" t="s">
        <v>197</v>
      </c>
      <c r="D31" s="392">
        <v>0</v>
      </c>
      <c r="E31" s="19"/>
      <c r="F31" s="19"/>
      <c r="G31" s="28"/>
    </row>
    <row r="32" spans="1:7" ht="15.75">
      <c r="A32" s="27">
        <f t="shared" si="0"/>
        <v>13</v>
      </c>
      <c r="B32" s="109" t="s">
        <v>193</v>
      </c>
      <c r="C32" s="109" t="s">
        <v>198</v>
      </c>
      <c r="D32" s="392">
        <v>0</v>
      </c>
      <c r="E32" s="19"/>
      <c r="F32" s="19"/>
      <c r="G32" s="28"/>
    </row>
    <row r="33" spans="1:19" ht="15.75">
      <c r="A33" s="110">
        <f>+A32+1</f>
        <v>14</v>
      </c>
      <c r="B33" s="7"/>
      <c r="C33" s="15" t="s">
        <v>194</v>
      </c>
      <c r="D33" s="35">
        <f>SUM(D24:D32)</f>
        <v>106906.84084669537</v>
      </c>
      <c r="E33" s="28"/>
      <c r="F33" s="28"/>
      <c r="G33" s="28"/>
    </row>
    <row r="34" spans="1:19" ht="15.75">
      <c r="A34" s="90"/>
      <c r="B34" s="39"/>
      <c r="C34" s="28"/>
      <c r="D34" s="28"/>
      <c r="E34" s="28"/>
      <c r="F34" s="28"/>
      <c r="G34" s="28"/>
    </row>
    <row r="35" spans="1:19" ht="15.75">
      <c r="A35" s="90"/>
      <c r="B35" s="27"/>
      <c r="C35" s="46" t="s">
        <v>502</v>
      </c>
      <c r="D35" s="21"/>
      <c r="E35" s="21"/>
      <c r="F35" s="21"/>
      <c r="G35" s="21"/>
    </row>
    <row r="36" spans="1:19">
      <c r="A36" s="27">
        <f>+A33+1</f>
        <v>15</v>
      </c>
      <c r="B36" s="659" t="s">
        <v>903</v>
      </c>
      <c r="C36" s="393" t="s">
        <v>904</v>
      </c>
      <c r="D36" s="392">
        <v>0.59658121181205115</v>
      </c>
      <c r="E36" s="879">
        <v>0.59658121181205115</v>
      </c>
      <c r="F36" s="879">
        <v>0</v>
      </c>
      <c r="G36" s="18"/>
    </row>
    <row r="37" spans="1:19">
      <c r="A37" s="27">
        <f>+A36+1</f>
        <v>16</v>
      </c>
      <c r="B37" s="659" t="s">
        <v>905</v>
      </c>
      <c r="C37" s="393" t="s">
        <v>906</v>
      </c>
      <c r="D37" s="392">
        <v>1.0432443470806595E-2</v>
      </c>
      <c r="E37" s="879">
        <v>1.0432443470806595E-2</v>
      </c>
      <c r="F37" s="879">
        <v>0</v>
      </c>
      <c r="G37" s="18"/>
    </row>
    <row r="38" spans="1:19">
      <c r="A38" s="27">
        <f>+A37+1</f>
        <v>17</v>
      </c>
      <c r="B38" s="659" t="s">
        <v>907</v>
      </c>
      <c r="C38" s="393" t="s">
        <v>908</v>
      </c>
      <c r="D38" s="392">
        <v>3.4321451062969652</v>
      </c>
      <c r="E38" s="879">
        <v>3.4321451062969652</v>
      </c>
      <c r="F38" s="879">
        <v>0</v>
      </c>
      <c r="G38" s="18"/>
    </row>
    <row r="39" spans="1:19">
      <c r="A39" s="27">
        <f>+A38+1</f>
        <v>18</v>
      </c>
      <c r="B39" s="659" t="s">
        <v>909</v>
      </c>
      <c r="C39" s="393" t="s">
        <v>910</v>
      </c>
      <c r="D39" s="392">
        <v>63.649367980178283</v>
      </c>
      <c r="E39" s="879">
        <v>0</v>
      </c>
      <c r="F39" s="879">
        <v>63.649367980178283</v>
      </c>
      <c r="G39" s="42"/>
    </row>
    <row r="40" spans="1:19">
      <c r="A40" s="27">
        <f>+A39+1</f>
        <v>19</v>
      </c>
      <c r="B40" s="659"/>
      <c r="C40" s="393"/>
      <c r="D40" s="392"/>
      <c r="E40" s="19"/>
      <c r="F40" s="19"/>
      <c r="G40" s="42"/>
    </row>
    <row r="41" spans="1:19">
      <c r="A41" s="27">
        <f>+A40+1</f>
        <v>20</v>
      </c>
      <c r="B41" s="659"/>
      <c r="C41" s="393"/>
      <c r="D41" s="392"/>
      <c r="E41" s="19"/>
      <c r="F41" s="19"/>
      <c r="G41" s="42"/>
    </row>
    <row r="42" spans="1:19">
      <c r="A42" s="27"/>
      <c r="B42" s="2"/>
      <c r="C42" s="37"/>
      <c r="D42" s="19"/>
      <c r="E42" s="19"/>
      <c r="F42" s="19"/>
      <c r="G42" s="18"/>
    </row>
    <row r="43" spans="1:19" ht="12.75" customHeight="1">
      <c r="A43" s="27"/>
      <c r="B43" s="20" t="s">
        <v>414</v>
      </c>
      <c r="C43" s="37"/>
      <c r="D43" s="22"/>
      <c r="E43" s="23"/>
      <c r="F43" s="24"/>
      <c r="G43" s="21"/>
    </row>
    <row r="44" spans="1:19" ht="15.75" customHeight="1">
      <c r="A44" s="27">
        <f>+A41+1</f>
        <v>21</v>
      </c>
      <c r="B44" s="25"/>
      <c r="C44" s="880" t="s">
        <v>633</v>
      </c>
      <c r="D44" s="35">
        <f>SUM(D36:D42)</f>
        <v>67.68852674175811</v>
      </c>
      <c r="E44" s="35">
        <f>SUM(E36:E42)</f>
        <v>4.0391587615798228</v>
      </c>
      <c r="F44" s="35">
        <f>SUM(F36:F42)</f>
        <v>63.649367980178283</v>
      </c>
      <c r="G44" s="10"/>
    </row>
    <row r="45" spans="1:19" ht="12.75" customHeight="1">
      <c r="A45" s="27"/>
      <c r="B45" s="25"/>
      <c r="C45" s="26"/>
      <c r="D45" s="38"/>
      <c r="E45" s="12"/>
      <c r="F45" s="12"/>
      <c r="G45" s="21"/>
    </row>
    <row r="46" spans="1:19" ht="15.75">
      <c r="A46" s="27"/>
      <c r="B46" s="27"/>
      <c r="C46" s="46" t="s">
        <v>501</v>
      </c>
      <c r="D46" s="12"/>
      <c r="E46" s="12"/>
      <c r="F46" s="12"/>
      <c r="G46" s="21"/>
    </row>
    <row r="47" spans="1:19">
      <c r="A47" s="27">
        <f>+A44+1</f>
        <v>22</v>
      </c>
      <c r="B47" s="659" t="s">
        <v>911</v>
      </c>
      <c r="C47" s="393" t="s">
        <v>912</v>
      </c>
      <c r="D47" s="394">
        <v>0</v>
      </c>
      <c r="E47" s="394">
        <v>0</v>
      </c>
      <c r="F47" s="394">
        <v>0</v>
      </c>
      <c r="G47"/>
      <c r="M47" s="9"/>
      <c r="N47" s="9"/>
      <c r="O47" s="11"/>
      <c r="P47" s="11"/>
      <c r="Q47" s="11"/>
      <c r="R47" s="11"/>
      <c r="S47" s="11"/>
    </row>
    <row r="48" spans="1:19">
      <c r="A48" s="27">
        <f>+A47+1</f>
        <v>23</v>
      </c>
      <c r="B48" s="659" t="s">
        <v>913</v>
      </c>
      <c r="C48" s="393" t="s">
        <v>914</v>
      </c>
      <c r="D48" s="394">
        <v>0</v>
      </c>
      <c r="E48" s="394">
        <v>0</v>
      </c>
      <c r="F48" s="394">
        <v>0</v>
      </c>
      <c r="G48"/>
      <c r="M48" s="9"/>
      <c r="N48" s="9"/>
      <c r="O48" s="11"/>
      <c r="P48" s="11"/>
      <c r="Q48" s="11"/>
      <c r="R48" s="11"/>
      <c r="S48" s="11"/>
    </row>
    <row r="49" spans="1:19">
      <c r="A49" s="27">
        <f t="shared" ref="A49:A62" si="1">+A48+1</f>
        <v>24</v>
      </c>
      <c r="B49" s="659" t="s">
        <v>915</v>
      </c>
      <c r="C49" s="393" t="s">
        <v>916</v>
      </c>
      <c r="D49" s="394">
        <v>0</v>
      </c>
      <c r="E49" s="394">
        <v>0</v>
      </c>
      <c r="F49" s="394">
        <v>0</v>
      </c>
      <c r="G49"/>
      <c r="M49" s="9"/>
      <c r="N49" s="9"/>
      <c r="O49" s="11"/>
      <c r="P49" s="11"/>
      <c r="Q49" s="11"/>
      <c r="R49" s="11"/>
      <c r="S49" s="11"/>
    </row>
    <row r="50" spans="1:19">
      <c r="A50" s="27">
        <f t="shared" si="1"/>
        <v>25</v>
      </c>
      <c r="B50" s="659" t="s">
        <v>917</v>
      </c>
      <c r="C50" s="393" t="s">
        <v>918</v>
      </c>
      <c r="D50" s="394">
        <v>0</v>
      </c>
      <c r="E50" s="394">
        <v>0</v>
      </c>
      <c r="F50" s="394">
        <v>0</v>
      </c>
      <c r="G50"/>
      <c r="M50" s="9"/>
      <c r="N50" s="9"/>
      <c r="O50" s="11"/>
      <c r="P50" s="11"/>
      <c r="Q50" s="11"/>
      <c r="R50" s="11"/>
      <c r="S50" s="11"/>
    </row>
    <row r="51" spans="1:19">
      <c r="A51" s="27">
        <f t="shared" si="1"/>
        <v>26</v>
      </c>
      <c r="B51" s="659" t="s">
        <v>919</v>
      </c>
      <c r="C51" s="393" t="s">
        <v>920</v>
      </c>
      <c r="D51" s="394">
        <v>0</v>
      </c>
      <c r="E51" s="394">
        <v>0</v>
      </c>
      <c r="F51" s="394">
        <v>0</v>
      </c>
      <c r="G51"/>
      <c r="M51" s="9"/>
      <c r="N51" s="9"/>
      <c r="O51" s="11"/>
      <c r="P51" s="11"/>
      <c r="Q51" s="11"/>
      <c r="R51" s="11"/>
      <c r="S51" s="11"/>
    </row>
    <row r="52" spans="1:19">
      <c r="A52" s="27">
        <f t="shared" si="1"/>
        <v>27</v>
      </c>
      <c r="B52" s="659" t="s">
        <v>921</v>
      </c>
      <c r="C52" s="393" t="s">
        <v>922</v>
      </c>
      <c r="D52" s="394">
        <v>0</v>
      </c>
      <c r="E52" s="394">
        <v>0</v>
      </c>
      <c r="F52" s="394">
        <v>0</v>
      </c>
      <c r="G52"/>
      <c r="M52" s="9"/>
      <c r="N52" s="9"/>
      <c r="O52" s="11"/>
      <c r="P52" s="11"/>
      <c r="Q52" s="11"/>
      <c r="R52" s="11"/>
      <c r="S52" s="11"/>
    </row>
    <row r="53" spans="1:19">
      <c r="A53" s="27">
        <f t="shared" si="1"/>
        <v>28</v>
      </c>
      <c r="B53" s="659"/>
      <c r="C53" s="393"/>
      <c r="D53" s="394"/>
      <c r="E53" s="19">
        <f t="shared" ref="E53:E62" si="2">+D53</f>
        <v>0</v>
      </c>
      <c r="F53" s="19">
        <v>0</v>
      </c>
      <c r="G53"/>
      <c r="M53" s="9"/>
      <c r="N53" s="9"/>
      <c r="O53" s="11"/>
      <c r="P53" s="11"/>
      <c r="Q53" s="11"/>
      <c r="R53" s="11"/>
      <c r="S53" s="11"/>
    </row>
    <row r="54" spans="1:19">
      <c r="A54" s="27">
        <f t="shared" si="1"/>
        <v>29</v>
      </c>
      <c r="B54" s="659"/>
      <c r="C54" s="393"/>
      <c r="D54" s="394"/>
      <c r="E54" s="19">
        <f t="shared" si="2"/>
        <v>0</v>
      </c>
      <c r="F54" s="19">
        <v>0</v>
      </c>
      <c r="G54"/>
      <c r="M54" s="9"/>
      <c r="N54" s="9"/>
      <c r="O54" s="11"/>
      <c r="P54" s="11"/>
      <c r="Q54" s="11"/>
      <c r="R54" s="11"/>
      <c r="S54" s="11"/>
    </row>
    <row r="55" spans="1:19">
      <c r="A55" s="27">
        <f t="shared" si="1"/>
        <v>30</v>
      </c>
      <c r="B55" s="659"/>
      <c r="C55" s="393"/>
      <c r="D55" s="394"/>
      <c r="E55" s="19">
        <f t="shared" si="2"/>
        <v>0</v>
      </c>
      <c r="F55" s="19">
        <v>0</v>
      </c>
      <c r="G55"/>
      <c r="M55" s="9"/>
      <c r="N55" s="9"/>
      <c r="O55" s="11"/>
      <c r="P55" s="11"/>
      <c r="Q55" s="11"/>
      <c r="R55" s="11"/>
      <c r="S55" s="11"/>
    </row>
    <row r="56" spans="1:19">
      <c r="A56" s="27">
        <f t="shared" si="1"/>
        <v>31</v>
      </c>
      <c r="B56" s="659"/>
      <c r="C56" s="393"/>
      <c r="D56" s="394"/>
      <c r="E56" s="19">
        <f t="shared" si="2"/>
        <v>0</v>
      </c>
      <c r="F56" s="19">
        <v>0</v>
      </c>
      <c r="G56"/>
      <c r="M56" s="9"/>
      <c r="N56" s="9"/>
      <c r="O56" s="11"/>
      <c r="P56" s="11"/>
      <c r="Q56" s="11"/>
      <c r="R56" s="11"/>
      <c r="S56" s="11"/>
    </row>
    <row r="57" spans="1:19">
      <c r="A57" s="27">
        <f t="shared" si="1"/>
        <v>32</v>
      </c>
      <c r="B57" s="659"/>
      <c r="C57" s="393"/>
      <c r="D57" s="394"/>
      <c r="E57" s="19">
        <f t="shared" si="2"/>
        <v>0</v>
      </c>
      <c r="F57" s="22">
        <v>0</v>
      </c>
      <c r="G57"/>
      <c r="M57" s="9"/>
      <c r="N57" s="9"/>
      <c r="O57" s="11"/>
      <c r="P57" s="11"/>
      <c r="Q57" s="11"/>
      <c r="R57" s="11"/>
      <c r="S57" s="11"/>
    </row>
    <row r="58" spans="1:19">
      <c r="A58" s="27">
        <f t="shared" si="1"/>
        <v>33</v>
      </c>
      <c r="B58" s="659"/>
      <c r="C58" s="393"/>
      <c r="D58" s="394"/>
      <c r="E58" s="19">
        <f t="shared" si="2"/>
        <v>0</v>
      </c>
      <c r="F58" s="22">
        <v>0</v>
      </c>
      <c r="G58"/>
    </row>
    <row r="59" spans="1:19">
      <c r="A59" s="27">
        <f t="shared" si="1"/>
        <v>34</v>
      </c>
      <c r="B59" s="659"/>
      <c r="C59" s="393"/>
      <c r="D59" s="394"/>
      <c r="E59" s="19">
        <f t="shared" si="2"/>
        <v>0</v>
      </c>
      <c r="F59" s="22">
        <v>0</v>
      </c>
      <c r="G59" s="21"/>
    </row>
    <row r="60" spans="1:19">
      <c r="A60" s="27">
        <f t="shared" si="1"/>
        <v>35</v>
      </c>
      <c r="B60" s="659"/>
      <c r="C60" s="393"/>
      <c r="D60" s="394"/>
      <c r="E60" s="19">
        <f t="shared" si="2"/>
        <v>0</v>
      </c>
      <c r="F60" s="22">
        <v>0</v>
      </c>
      <c r="G60" s="21"/>
    </row>
    <row r="61" spans="1:19">
      <c r="A61" s="27">
        <f t="shared" si="1"/>
        <v>36</v>
      </c>
      <c r="B61" s="659"/>
      <c r="C61" s="393"/>
      <c r="D61" s="394"/>
      <c r="E61" s="19">
        <f t="shared" si="2"/>
        <v>0</v>
      </c>
      <c r="F61" s="22">
        <v>0</v>
      </c>
      <c r="G61" s="21"/>
    </row>
    <row r="62" spans="1:19">
      <c r="A62" s="27">
        <f t="shared" si="1"/>
        <v>37</v>
      </c>
      <c r="B62" s="659"/>
      <c r="C62" s="393"/>
      <c r="D62" s="394"/>
      <c r="E62" s="19">
        <f t="shared" si="2"/>
        <v>0</v>
      </c>
      <c r="F62" s="22">
        <v>0</v>
      </c>
      <c r="G62" s="21"/>
    </row>
    <row r="63" spans="1:19">
      <c r="A63" s="27"/>
      <c r="B63" s="20"/>
      <c r="C63" s="21"/>
      <c r="D63" s="29"/>
      <c r="E63" s="30"/>
      <c r="F63" s="29"/>
      <c r="G63" s="21"/>
    </row>
    <row r="64" spans="1:19" ht="15.75">
      <c r="A64" s="27">
        <f>+A62+1</f>
        <v>38</v>
      </c>
      <c r="B64" s="25"/>
      <c r="C64" s="880" t="s">
        <v>634</v>
      </c>
      <c r="D64" s="31">
        <f>SUM(D47:D63)</f>
        <v>0</v>
      </c>
      <c r="E64" s="31">
        <f>SUM(E47:E63)</f>
        <v>0</v>
      </c>
      <c r="F64" s="31">
        <f>SUM(F47:F63)</f>
        <v>0</v>
      </c>
      <c r="G64" s="10"/>
    </row>
    <row r="65" spans="1:11" ht="12.75" customHeight="1">
      <c r="A65" s="27"/>
      <c r="B65" s="16"/>
      <c r="C65" s="16"/>
      <c r="D65" s="16"/>
      <c r="E65" s="16"/>
      <c r="F65" s="16"/>
      <c r="G65" s="16"/>
    </row>
    <row r="66" spans="1:11" ht="15.75">
      <c r="A66" s="27"/>
      <c r="B66" s="15"/>
      <c r="C66" s="46" t="s">
        <v>500</v>
      </c>
      <c r="D66" s="32"/>
      <c r="E66" s="32"/>
      <c r="F66" s="32"/>
      <c r="G66" s="15"/>
    </row>
    <row r="67" spans="1:11">
      <c r="A67" s="27">
        <f>+A64+1</f>
        <v>39</v>
      </c>
      <c r="B67" s="918">
        <v>9302000</v>
      </c>
      <c r="C67" s="393" t="s">
        <v>803</v>
      </c>
      <c r="D67" s="394">
        <v>3468.7012492325416</v>
      </c>
      <c r="E67" s="19">
        <f>D67</f>
        <v>3468.7012492325416</v>
      </c>
      <c r="F67" s="22">
        <v>0</v>
      </c>
      <c r="G67" s="9"/>
      <c r="H67" s="9"/>
      <c r="J67" s="11"/>
      <c r="K67" s="11"/>
    </row>
    <row r="68" spans="1:11">
      <c r="A68" s="27">
        <f>+A67+1</f>
        <v>40</v>
      </c>
      <c r="B68" s="918">
        <v>9302003</v>
      </c>
      <c r="C68" s="393" t="s">
        <v>804</v>
      </c>
      <c r="D68" s="394">
        <v>1685.8269843191235</v>
      </c>
      <c r="E68" s="19">
        <f>D68</f>
        <v>1685.8269843191235</v>
      </c>
      <c r="F68" s="22">
        <v>0</v>
      </c>
      <c r="G68" s="9"/>
      <c r="H68" s="9"/>
      <c r="J68" s="11"/>
      <c r="K68" s="11"/>
    </row>
    <row r="69" spans="1:11">
      <c r="A69" s="27">
        <f t="shared" ref="A69:A70" si="3">+A68+1</f>
        <v>41</v>
      </c>
      <c r="B69" s="918">
        <v>9302004</v>
      </c>
      <c r="C69" s="393" t="s">
        <v>902</v>
      </c>
      <c r="D69" s="394">
        <v>21.289580855522971</v>
      </c>
      <c r="E69" s="19">
        <f>D69</f>
        <v>21.289580855522971</v>
      </c>
      <c r="F69" s="22">
        <v>0</v>
      </c>
      <c r="G69" s="9"/>
      <c r="H69" s="9"/>
      <c r="J69" s="11"/>
      <c r="K69" s="11"/>
    </row>
    <row r="70" spans="1:11">
      <c r="A70" s="27">
        <f t="shared" si="3"/>
        <v>42</v>
      </c>
      <c r="B70" s="918">
        <v>9302007</v>
      </c>
      <c r="C70" s="393" t="s">
        <v>805</v>
      </c>
      <c r="D70" s="394">
        <v>464.11411566165896</v>
      </c>
      <c r="E70" s="19">
        <f>D70-F70</f>
        <v>0</v>
      </c>
      <c r="F70" s="22">
        <v>464.11411566165896</v>
      </c>
      <c r="G70" s="16"/>
    </row>
    <row r="71" spans="1:11">
      <c r="A71" s="27"/>
      <c r="B71" s="16"/>
      <c r="C71" s="16"/>
      <c r="D71" s="16"/>
      <c r="E71" s="16"/>
      <c r="F71" s="16"/>
      <c r="G71" s="16"/>
    </row>
    <row r="72" spans="1:11" ht="15.75">
      <c r="A72" s="27">
        <f>+A70+1</f>
        <v>43</v>
      </c>
      <c r="B72" s="16"/>
      <c r="C72" s="880" t="s">
        <v>635</v>
      </c>
      <c r="D72" s="31">
        <f>SUM(D67:D71)</f>
        <v>5639.9319300688467</v>
      </c>
      <c r="E72" s="31">
        <f>SUM(E67:E71)</f>
        <v>5175.8178144071881</v>
      </c>
      <c r="F72" s="31">
        <f>SUM(F67:F71)</f>
        <v>464.11411566165896</v>
      </c>
      <c r="G72" s="10"/>
    </row>
    <row r="73" spans="1:11">
      <c r="A73" s="27"/>
      <c r="B73" s="41"/>
      <c r="C73"/>
      <c r="D73"/>
      <c r="E73"/>
      <c r="F73"/>
      <c r="G73"/>
    </row>
    <row r="74" spans="1:11" ht="12.75">
      <c r="A74" s="41"/>
      <c r="B74"/>
      <c r="C74"/>
      <c r="D74"/>
      <c r="E74"/>
      <c r="F74"/>
    </row>
    <row r="75" spans="1:11" ht="12.75">
      <c r="A75" s="41"/>
      <c r="B75"/>
      <c r="C75"/>
      <c r="D75"/>
      <c r="E75"/>
      <c r="F75"/>
    </row>
  </sheetData>
  <mergeCells count="6">
    <mergeCell ref="A3:G3"/>
    <mergeCell ref="A8:G8"/>
    <mergeCell ref="A7:F7"/>
    <mergeCell ref="A4:G4"/>
    <mergeCell ref="A5:G5"/>
    <mergeCell ref="A6:G6"/>
  </mergeCells>
  <phoneticPr fontId="0" type="noConversion"/>
  <pageMargins left="1.27" right="1.28" top="0.8" bottom="0.67" header="0.75" footer="0.4"/>
  <pageSetup scale="49" orientation="landscape" r:id="rId1"/>
  <headerFooter alignWithMargins="0">
    <oddHeader>&amp;R&amp;"Arial,Bold"Formula Rate 
&amp;A
Page &amp;P of &amp;N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O241"/>
  <sheetViews>
    <sheetView zoomScaleNormal="100" workbookViewId="0">
      <selection activeCell="E11" sqref="E11"/>
    </sheetView>
  </sheetViews>
  <sheetFormatPr defaultColWidth="8.85546875" defaultRowHeight="12.75"/>
  <cols>
    <col min="2" max="2" width="32.5703125" customWidth="1"/>
    <col min="5" max="5" width="15" customWidth="1"/>
    <col min="6" max="6" width="12.85546875" bestFit="1" customWidth="1"/>
    <col min="7" max="7" width="10.85546875" customWidth="1"/>
    <col min="8" max="8" width="2.85546875" customWidth="1"/>
    <col min="9" max="9" width="16.5703125" bestFit="1" customWidth="1"/>
    <col min="10" max="10" width="2.140625" customWidth="1"/>
    <col min="11" max="11" width="14.5703125" bestFit="1" customWidth="1"/>
    <col min="12" max="12" width="4.85546875" customWidth="1"/>
    <col min="13" max="13" width="16" bestFit="1" customWidth="1"/>
    <col min="14" max="14" width="2.140625" customWidth="1"/>
    <col min="15" max="15" width="14.28515625" bestFit="1" customWidth="1"/>
  </cols>
  <sheetData>
    <row r="1" spans="1:15" ht="15.75">
      <c r="A1" s="696" t="s">
        <v>414</v>
      </c>
    </row>
    <row r="2" spans="1:15" ht="15.75">
      <c r="A2" s="696" t="s">
        <v>414</v>
      </c>
    </row>
    <row r="3" spans="1:15" ht="15">
      <c r="A3" s="1141" t="str">
        <f>TCOS!$F$5</f>
        <v>AEPTCo subsidiaries in PJM</v>
      </c>
      <c r="B3" s="1141" t="str">
        <f>TCOS!$F$5</f>
        <v>AEPTCo subsidiaries in PJM</v>
      </c>
      <c r="C3" s="1141" t="str">
        <f>TCOS!$F$5</f>
        <v>AEPTCo subsidiaries in PJM</v>
      </c>
      <c r="D3" s="1141" t="str">
        <f>TCOS!$F$5</f>
        <v>AEPTCo subsidiaries in PJM</v>
      </c>
      <c r="E3" s="1141" t="str">
        <f>TCOS!$F$5</f>
        <v>AEPTCo subsidiaries in PJM</v>
      </c>
      <c r="F3" s="1141" t="str">
        <f>TCOS!$F$5</f>
        <v>AEPTCo subsidiaries in PJM</v>
      </c>
      <c r="G3" s="1141" t="str">
        <f>TCOS!$F$5</f>
        <v>AEPTCo subsidiaries in PJM</v>
      </c>
      <c r="H3" s="1141" t="str">
        <f>TCOS!$F$5</f>
        <v>AEPTCo subsidiaries in PJM</v>
      </c>
    </row>
    <row r="4" spans="1:15" ht="15">
      <c r="A4" s="1142" t="str">
        <f>"Cost of Service Formula Rate Using Actual/Projected FF1 Balances"</f>
        <v>Cost of Service Formula Rate Using Actual/Projected FF1 Balances</v>
      </c>
      <c r="B4" s="1142"/>
      <c r="C4" s="1142"/>
      <c r="D4" s="1142"/>
      <c r="E4" s="1142"/>
      <c r="F4" s="1142"/>
      <c r="G4" s="1142"/>
      <c r="H4" s="1142"/>
    </row>
    <row r="5" spans="1:15" ht="15">
      <c r="A5" s="1142" t="s">
        <v>336</v>
      </c>
      <c r="B5" s="1142"/>
      <c r="C5" s="1142"/>
      <c r="D5" s="1142"/>
      <c r="E5" s="1142"/>
      <c r="F5" s="1142"/>
      <c r="G5" s="1142"/>
      <c r="H5" s="1142"/>
    </row>
    <row r="6" spans="1:15" ht="15">
      <c r="A6" s="1152" t="str">
        <f>TCOS!F9</f>
        <v>AEP Kentucky Transmission Company</v>
      </c>
      <c r="B6" s="1152"/>
      <c r="C6" s="1152"/>
      <c r="D6" s="1152"/>
      <c r="E6" s="1152"/>
      <c r="F6" s="1152"/>
      <c r="G6" s="1152"/>
    </row>
    <row r="7" spans="1:15" ht="12.75" customHeight="1">
      <c r="A7" s="6"/>
      <c r="B7" s="395"/>
      <c r="C7" s="395"/>
      <c r="D7" s="395"/>
      <c r="E7" s="395"/>
      <c r="F7" s="395"/>
      <c r="G7" s="395"/>
      <c r="H7" s="395"/>
      <c r="I7" s="395"/>
      <c r="J7" s="395"/>
      <c r="O7" s="396"/>
    </row>
    <row r="8" spans="1:15" ht="12.75" customHeight="1">
      <c r="A8" s="6"/>
      <c r="B8" s="17"/>
      <c r="C8" s="131"/>
      <c r="D8" s="131"/>
      <c r="E8" s="131"/>
      <c r="F8" s="131"/>
    </row>
    <row r="9" spans="1:15" ht="15">
      <c r="A9" s="397">
        <v>1</v>
      </c>
      <c r="B9" s="406" t="s">
        <v>813</v>
      </c>
      <c r="C9" s="398"/>
      <c r="D9" s="399"/>
      <c r="E9" s="404">
        <v>0.05</v>
      </c>
      <c r="F9" s="131"/>
      <c r="G9" s="400"/>
      <c r="H9" s="400"/>
      <c r="L9" s="1"/>
    </row>
    <row r="10" spans="1:15" ht="15">
      <c r="A10" s="1"/>
      <c r="B10" s="131" t="s">
        <v>620</v>
      </c>
      <c r="C10" s="398"/>
      <c r="D10" s="398"/>
      <c r="E10" s="405">
        <v>0.9919</v>
      </c>
      <c r="F10" s="131"/>
      <c r="G10" s="400"/>
      <c r="H10" s="400"/>
      <c r="L10" s="1"/>
    </row>
    <row r="11" spans="1:15" ht="15">
      <c r="A11" s="1"/>
      <c r="B11" s="131" t="s">
        <v>236</v>
      </c>
      <c r="C11" s="398"/>
      <c r="D11" s="398"/>
      <c r="E11" s="131"/>
      <c r="F11" s="401">
        <f>ROUND(E9*E10,4)</f>
        <v>4.9599999999999998E-2</v>
      </c>
      <c r="G11" s="400"/>
      <c r="L11" s="1"/>
    </row>
    <row r="12" spans="1:15" ht="15">
      <c r="A12" s="1"/>
      <c r="B12" s="131"/>
      <c r="C12" s="398"/>
      <c r="D12" s="398"/>
      <c r="E12" s="131"/>
      <c r="F12" s="401"/>
      <c r="G12" s="400"/>
      <c r="L12" s="1"/>
    </row>
    <row r="13" spans="1:15" ht="15">
      <c r="A13" s="1">
        <f>A9+1</f>
        <v>2</v>
      </c>
      <c r="B13" s="406" t="s">
        <v>113</v>
      </c>
      <c r="C13" s="398"/>
      <c r="D13" s="399"/>
      <c r="E13" s="404"/>
      <c r="F13" s="131"/>
      <c r="G13" s="400"/>
      <c r="L13" s="1"/>
    </row>
    <row r="14" spans="1:15" ht="15">
      <c r="A14" s="1"/>
      <c r="B14" s="131" t="s">
        <v>620</v>
      </c>
      <c r="C14" s="398"/>
      <c r="D14" s="398"/>
      <c r="E14" s="405"/>
      <c r="F14" s="131"/>
      <c r="G14" s="400"/>
      <c r="L14" s="1"/>
    </row>
    <row r="15" spans="1:15" ht="15">
      <c r="A15" s="1"/>
      <c r="B15" s="131" t="s">
        <v>236</v>
      </c>
      <c r="C15" s="398"/>
      <c r="D15" s="398"/>
      <c r="E15" s="131"/>
      <c r="F15" s="401">
        <f>ROUND(E13*E14,4)</f>
        <v>0</v>
      </c>
      <c r="G15" s="400"/>
      <c r="L15" s="1"/>
    </row>
    <row r="16" spans="1:15" ht="15">
      <c r="A16" s="1"/>
      <c r="B16" s="131"/>
      <c r="C16" s="398"/>
      <c r="D16" s="398"/>
      <c r="E16" s="131"/>
      <c r="F16" s="401"/>
      <c r="G16" s="400"/>
      <c r="L16" s="1"/>
    </row>
    <row r="17" spans="1:12" ht="15">
      <c r="A17" s="1">
        <f>A13+1</f>
        <v>3</v>
      </c>
      <c r="B17" s="406" t="s">
        <v>113</v>
      </c>
      <c r="C17" s="398"/>
      <c r="D17" s="399"/>
      <c r="E17" s="404"/>
      <c r="F17" s="131"/>
      <c r="G17" s="400"/>
      <c r="L17" s="1"/>
    </row>
    <row r="18" spans="1:12" ht="15">
      <c r="A18" s="1"/>
      <c r="B18" s="131" t="s">
        <v>620</v>
      </c>
      <c r="C18" s="398"/>
      <c r="D18" s="398"/>
      <c r="E18" s="405"/>
      <c r="F18" s="131"/>
      <c r="G18" s="400"/>
      <c r="L18" s="1"/>
    </row>
    <row r="19" spans="1:12" ht="15">
      <c r="A19" s="1"/>
      <c r="B19" s="131" t="s">
        <v>236</v>
      </c>
      <c r="C19" s="398"/>
      <c r="D19" s="398"/>
      <c r="E19" s="131"/>
      <c r="F19" s="401">
        <f>ROUND(E17*E18,4)</f>
        <v>0</v>
      </c>
      <c r="G19" s="400"/>
      <c r="L19" s="1"/>
    </row>
    <row r="20" spans="1:12" ht="15">
      <c r="A20" s="1"/>
      <c r="B20" s="131"/>
      <c r="C20" s="398"/>
      <c r="D20" s="398"/>
      <c r="E20" s="131"/>
      <c r="F20" s="401"/>
      <c r="G20" s="400"/>
      <c r="L20" s="1"/>
    </row>
    <row r="21" spans="1:12" ht="15">
      <c r="A21" s="1">
        <f>A17+1</f>
        <v>4</v>
      </c>
      <c r="B21" s="406" t="s">
        <v>113</v>
      </c>
      <c r="C21" s="398"/>
      <c r="D21" s="399"/>
      <c r="E21" s="404"/>
      <c r="F21" s="131"/>
      <c r="G21" s="400"/>
      <c r="L21" s="1"/>
    </row>
    <row r="22" spans="1:12" ht="15">
      <c r="A22" s="1"/>
      <c r="B22" s="131" t="s">
        <v>620</v>
      </c>
      <c r="C22" s="398"/>
      <c r="D22" s="398"/>
      <c r="E22" s="405"/>
      <c r="F22" s="131"/>
      <c r="G22" s="400"/>
      <c r="L22" s="1"/>
    </row>
    <row r="23" spans="1:12" ht="15">
      <c r="A23" s="1"/>
      <c r="B23" s="131" t="s">
        <v>236</v>
      </c>
      <c r="C23" s="398"/>
      <c r="D23" s="398"/>
      <c r="E23" s="131"/>
      <c r="F23" s="401">
        <f>ROUND(E21*E22,4)</f>
        <v>0</v>
      </c>
      <c r="G23" s="400"/>
      <c r="L23" s="1"/>
    </row>
    <row r="24" spans="1:12" ht="15">
      <c r="A24" s="1"/>
      <c r="B24" s="131"/>
      <c r="C24" s="398"/>
      <c r="D24" s="398"/>
      <c r="E24" s="131"/>
      <c r="F24" s="401"/>
      <c r="G24" s="400"/>
      <c r="L24" s="1"/>
    </row>
    <row r="25" spans="1:12" ht="15">
      <c r="A25" s="1">
        <f>A21+1</f>
        <v>5</v>
      </c>
      <c r="B25" s="406" t="s">
        <v>113</v>
      </c>
      <c r="C25" s="398"/>
      <c r="D25" s="399"/>
      <c r="E25" s="404"/>
      <c r="F25" s="402"/>
      <c r="G25" s="400"/>
      <c r="L25" s="1"/>
    </row>
    <row r="26" spans="1:12" ht="15">
      <c r="A26" s="1"/>
      <c r="B26" s="131" t="s">
        <v>620</v>
      </c>
      <c r="C26" s="398"/>
      <c r="D26" s="398"/>
      <c r="E26" s="405"/>
      <c r="F26" s="402"/>
      <c r="G26" s="400"/>
      <c r="L26" s="1"/>
    </row>
    <row r="27" spans="1:12" ht="15">
      <c r="A27" s="1"/>
      <c r="B27" s="131" t="s">
        <v>236</v>
      </c>
      <c r="C27" s="398"/>
      <c r="D27" s="398"/>
      <c r="E27" s="131"/>
      <c r="F27" s="401">
        <f>ROUND(E25*E26,4)</f>
        <v>0</v>
      </c>
      <c r="G27" s="400"/>
      <c r="L27" s="1"/>
    </row>
    <row r="28" spans="1:12" ht="15">
      <c r="A28" s="1"/>
      <c r="B28" s="131"/>
      <c r="C28" s="398"/>
      <c r="D28" s="398"/>
      <c r="E28" s="398"/>
      <c r="F28" s="402"/>
      <c r="G28" s="400"/>
      <c r="L28" s="1"/>
    </row>
    <row r="29" spans="1:12" ht="15.75" thickBot="1">
      <c r="A29" s="1"/>
      <c r="B29" s="131" t="s">
        <v>493</v>
      </c>
      <c r="C29" s="131"/>
      <c r="D29" s="131"/>
      <c r="E29" s="131"/>
      <c r="F29" s="403">
        <f>ROUND(SUM(F11:F28),4)</f>
        <v>4.9599999999999998E-2</v>
      </c>
      <c r="G29" s="400"/>
      <c r="L29" s="1"/>
    </row>
    <row r="30" spans="1:12" ht="13.5" thickTop="1">
      <c r="A30" s="1"/>
      <c r="L30" s="1"/>
    </row>
    <row r="31" spans="1:12">
      <c r="A31" s="1"/>
      <c r="L31" s="1"/>
    </row>
    <row r="32" spans="1:12">
      <c r="A32" s="1"/>
      <c r="L32" s="1"/>
    </row>
    <row r="33" spans="1:12" ht="12.75" customHeight="1">
      <c r="A33" s="1"/>
      <c r="C33" s="131"/>
      <c r="D33" s="131"/>
      <c r="E33" s="131"/>
      <c r="F33" s="131"/>
      <c r="L33" s="1"/>
    </row>
    <row r="34" spans="1:12">
      <c r="A34" s="3" t="s">
        <v>295</v>
      </c>
      <c r="B34" s="3" t="s">
        <v>200</v>
      </c>
      <c r="C34" s="3"/>
      <c r="D34" s="3"/>
      <c r="E34" s="3"/>
      <c r="F34" s="3"/>
      <c r="G34" s="3"/>
    </row>
    <row r="241" spans="2:2">
      <c r="B241" t="s">
        <v>31</v>
      </c>
    </row>
  </sheetData>
  <mergeCells count="4">
    <mergeCell ref="A6:G6"/>
    <mergeCell ref="A3:H3"/>
    <mergeCell ref="A4:H4"/>
    <mergeCell ref="A5:H5"/>
  </mergeCells>
  <phoneticPr fontId="0" type="noConversion"/>
  <pageMargins left="0.26" right="1.28" top="1" bottom="1" header="0.75" footer="0.5"/>
  <pageSetup scale="90" orientation="portrait" r:id="rId1"/>
  <headerFooter alignWithMargins="0">
    <oddHeader>&amp;R&amp;"Arial,Bold"Formula Rate 
&amp;A
Page &amp;P of &amp;N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C216"/>
  <sheetViews>
    <sheetView topLeftCell="A24" zoomScale="80" zoomScaleNormal="80" zoomScalePageLayoutView="50" workbookViewId="0">
      <selection activeCell="E102" sqref="E102"/>
    </sheetView>
  </sheetViews>
  <sheetFormatPr defaultRowHeight="15"/>
  <cols>
    <col min="1" max="1" width="7.28515625" style="59" customWidth="1"/>
    <col min="2" max="2" width="1.7109375" style="50" customWidth="1"/>
    <col min="3" max="3" width="62.42578125" style="50" customWidth="1"/>
    <col min="4" max="4" width="11" style="50" customWidth="1"/>
    <col min="5" max="5" width="20.42578125" style="55" customWidth="1"/>
    <col min="6" max="6" width="1.7109375" style="50" customWidth="1"/>
    <col min="7" max="7" width="20" style="50" bestFit="1" customWidth="1"/>
    <col min="8" max="8" width="1.7109375" style="50" customWidth="1"/>
    <col min="9" max="9" width="21.42578125" style="50" customWidth="1"/>
    <col min="10" max="10" width="1.7109375" style="50" customWidth="1"/>
    <col min="11" max="11" width="17.7109375" style="50" bestFit="1" customWidth="1"/>
    <col min="12" max="12" width="3.42578125" style="50" customWidth="1"/>
    <col min="13" max="13" width="22.5703125" style="50" customWidth="1"/>
    <col min="14" max="14" width="1.28515625" style="50" customWidth="1"/>
    <col min="15" max="15" width="22.140625" style="407" customWidth="1"/>
    <col min="16" max="16384" width="9.140625" style="50"/>
  </cols>
  <sheetData>
    <row r="1" spans="1:29" ht="15.75">
      <c r="A1" s="696" t="s">
        <v>414</v>
      </c>
    </row>
    <row r="2" spans="1:29" ht="15.75">
      <c r="A2" s="696" t="s">
        <v>414</v>
      </c>
    </row>
    <row r="3" spans="1:29" ht="18.75" customHeight="1">
      <c r="A3" s="1141" t="str">
        <f>TCOS!$F$5</f>
        <v>AEPTCo subsidiaries in PJM</v>
      </c>
      <c r="B3" s="1141" t="str">
        <f>TCOS!$F$5</f>
        <v>AEPTCo subsidiaries in PJM</v>
      </c>
      <c r="C3" s="1141" t="str">
        <f>TCOS!$F$5</f>
        <v>AEPTCo subsidiaries in PJM</v>
      </c>
      <c r="D3" s="1141" t="str">
        <f>TCOS!$F$5</f>
        <v>AEPTCo subsidiaries in PJM</v>
      </c>
      <c r="E3" s="1141" t="str">
        <f>TCOS!$F$5</f>
        <v>AEPTCo subsidiaries in PJM</v>
      </c>
      <c r="F3" s="1141" t="str">
        <f>TCOS!$F$5</f>
        <v>AEPTCo subsidiaries in PJM</v>
      </c>
      <c r="G3" s="1141" t="str">
        <f>TCOS!$F$5</f>
        <v>AEPTCo subsidiaries in PJM</v>
      </c>
      <c r="H3" s="1141" t="str">
        <f>TCOS!$F$5</f>
        <v>AEPTCo subsidiaries in PJM</v>
      </c>
      <c r="I3" s="1141" t="str">
        <f>TCOS!$F$5</f>
        <v>AEPTCo subsidiaries in PJM</v>
      </c>
      <c r="J3" s="1141" t="str">
        <f>TCOS!$F$5</f>
        <v>AEPTCo subsidiaries in PJM</v>
      </c>
      <c r="K3" s="1141" t="str">
        <f>TCOS!$F$5</f>
        <v>AEPTCo subsidiaries in PJM</v>
      </c>
      <c r="L3" s="1141" t="str">
        <f>TCOS!$F$5</f>
        <v>AEPTCo subsidiaries in PJM</v>
      </c>
      <c r="M3" s="1141" t="str">
        <f>TCOS!$F$5</f>
        <v>AEPTCo subsidiaries in PJM</v>
      </c>
    </row>
    <row r="4" spans="1:29" ht="18.75" customHeight="1">
      <c r="A4" s="1142" t="str">
        <f>"Cost of Service Formula Rate Using Actual/Projected FF1 Balances"</f>
        <v>Cost of Service Formula Rate Using Actual/Projected FF1 Balances</v>
      </c>
      <c r="B4" s="1142"/>
      <c r="C4" s="1142"/>
      <c r="D4" s="1142"/>
      <c r="E4" s="1142"/>
      <c r="F4" s="1142"/>
      <c r="G4" s="1142"/>
      <c r="H4" s="1142"/>
      <c r="I4" s="1142"/>
      <c r="J4" s="1142"/>
      <c r="K4" s="1142"/>
      <c r="L4" s="1142"/>
      <c r="M4" s="1142"/>
    </row>
    <row r="5" spans="1:29" ht="18.75" customHeight="1">
      <c r="A5" s="1142" t="s">
        <v>255</v>
      </c>
      <c r="B5" s="1142"/>
      <c r="C5" s="1142"/>
      <c r="D5" s="1142"/>
      <c r="E5" s="1142"/>
      <c r="F5" s="1142"/>
      <c r="G5" s="1142"/>
      <c r="H5" s="1142"/>
      <c r="I5" s="1142"/>
      <c r="J5" s="1142"/>
      <c r="K5" s="1142"/>
      <c r="L5" s="1142"/>
      <c r="M5" s="1142"/>
    </row>
    <row r="6" spans="1:29" ht="18.75" customHeight="1">
      <c r="A6" s="1143" t="str">
        <f>TCOS!F9</f>
        <v>AEP Kentucky Transmission Company</v>
      </c>
      <c r="B6" s="1143"/>
      <c r="C6" s="1143"/>
      <c r="D6" s="1143"/>
      <c r="E6" s="1143"/>
      <c r="F6" s="1143"/>
      <c r="G6" s="1143"/>
      <c r="H6" s="1143"/>
      <c r="I6" s="1143"/>
      <c r="J6" s="1143"/>
      <c r="K6" s="1143"/>
      <c r="L6" s="1143"/>
      <c r="M6" s="1143"/>
    </row>
    <row r="7" spans="1:29" ht="18" customHeight="1">
      <c r="A7" s="1152"/>
      <c r="B7" s="1152"/>
      <c r="C7" s="1152"/>
      <c r="D7" s="1152"/>
      <c r="E7" s="1152"/>
      <c r="F7" s="1152"/>
      <c r="G7" s="1152"/>
      <c r="H7" s="1152"/>
      <c r="I7" s="1152"/>
      <c r="J7" s="1152"/>
      <c r="K7" s="1152"/>
      <c r="L7" s="1152"/>
      <c r="M7" s="1152"/>
    </row>
    <row r="8" spans="1:29" ht="18" customHeight="1">
      <c r="A8" s="1177"/>
      <c r="B8" s="1177"/>
      <c r="C8" s="1177"/>
      <c r="D8" s="1177"/>
      <c r="E8" s="1177"/>
      <c r="F8" s="1177"/>
      <c r="G8" s="1177"/>
      <c r="H8" s="1177"/>
      <c r="I8" s="1177"/>
      <c r="J8" s="1177"/>
      <c r="K8" s="1177"/>
      <c r="L8" s="1177"/>
      <c r="M8" s="1177"/>
    </row>
    <row r="9" spans="1:29" ht="18" customHeight="1">
      <c r="A9" s="67"/>
      <c r="B9" s="67"/>
      <c r="C9" s="67"/>
      <c r="D9" s="67"/>
      <c r="E9" s="67"/>
      <c r="F9" s="67"/>
      <c r="G9" s="67"/>
      <c r="H9" s="67"/>
      <c r="I9" s="67"/>
      <c r="J9" s="67"/>
      <c r="K9" s="67"/>
      <c r="L9" s="67"/>
      <c r="M9" s="67"/>
    </row>
    <row r="10" spans="1:29" ht="19.5" customHeight="1">
      <c r="A10" s="52"/>
      <c r="B10" s="51"/>
      <c r="C10" s="15" t="s">
        <v>460</v>
      </c>
      <c r="E10" s="15" t="s">
        <v>461</v>
      </c>
      <c r="G10" s="15" t="s">
        <v>462</v>
      </c>
      <c r="I10" s="15" t="s">
        <v>463</v>
      </c>
      <c r="K10" s="15" t="s">
        <v>383</v>
      </c>
      <c r="M10" s="15" t="s">
        <v>384</v>
      </c>
    </row>
    <row r="11" spans="1:29" ht="18">
      <c r="A11" s="80"/>
      <c r="B11" s="81"/>
      <c r="C11" s="81"/>
      <c r="D11" s="81"/>
      <c r="E11"/>
      <c r="F11"/>
      <c r="G11"/>
      <c r="H11"/>
      <c r="I11"/>
      <c r="J11"/>
      <c r="K11"/>
      <c r="L11"/>
      <c r="M11"/>
      <c r="Q11" s="17"/>
      <c r="R11" s="17"/>
      <c r="S11" s="17"/>
      <c r="T11" s="17"/>
      <c r="U11" s="17"/>
      <c r="V11" s="17"/>
      <c r="W11" s="17"/>
      <c r="X11" s="17"/>
      <c r="Y11" s="17"/>
      <c r="Z11" s="17"/>
      <c r="AA11" s="17"/>
      <c r="AB11" s="17"/>
      <c r="AC11" s="17"/>
    </row>
    <row r="12" spans="1:29" ht="19.5">
      <c r="A12" s="80" t="s">
        <v>467</v>
      </c>
      <c r="B12" s="81"/>
      <c r="C12" s="81"/>
      <c r="D12" s="81"/>
      <c r="E12" s="82" t="s">
        <v>418</v>
      </c>
      <c r="F12" s="80"/>
      <c r="G12" s="80"/>
      <c r="H12" s="80"/>
      <c r="I12" s="80"/>
      <c r="J12" s="80"/>
      <c r="K12" s="54"/>
      <c r="L12" s="54"/>
      <c r="M12" s="408"/>
    </row>
    <row r="13" spans="1:29" ht="19.5">
      <c r="A13" s="83" t="s">
        <v>417</v>
      </c>
      <c r="B13" s="81"/>
      <c r="C13" s="83" t="s">
        <v>110</v>
      </c>
      <c r="D13" s="81"/>
      <c r="E13" s="84" t="s">
        <v>481</v>
      </c>
      <c r="F13" s="80"/>
      <c r="G13" s="83" t="s">
        <v>114</v>
      </c>
      <c r="H13" s="80"/>
      <c r="I13" s="83" t="s">
        <v>459</v>
      </c>
      <c r="J13" s="80"/>
      <c r="K13" s="409" t="s">
        <v>479</v>
      </c>
      <c r="L13" s="410"/>
      <c r="M13" s="409" t="s">
        <v>115</v>
      </c>
    </row>
    <row r="14" spans="1:29" ht="19.5">
      <c r="A14" s="52"/>
      <c r="B14" s="51"/>
      <c r="C14" s="49"/>
      <c r="D14" s="49"/>
      <c r="E14" s="49" t="s">
        <v>333</v>
      </c>
      <c r="F14" s="49"/>
      <c r="G14" s="49"/>
      <c r="H14" s="49"/>
      <c r="I14" s="49"/>
      <c r="J14" s="49"/>
      <c r="K14" s="48"/>
      <c r="L14" s="48"/>
    </row>
    <row r="15" spans="1:29" ht="19.5">
      <c r="A15" s="52"/>
      <c r="B15" s="51"/>
      <c r="C15" s="51"/>
      <c r="D15" s="51"/>
      <c r="E15" s="411"/>
      <c r="F15" s="51"/>
      <c r="G15" s="51"/>
      <c r="H15" s="51"/>
      <c r="I15" s="412"/>
      <c r="J15" s="51"/>
      <c r="K15" s="48"/>
      <c r="L15" s="48"/>
    </row>
    <row r="16" spans="1:29" ht="19.5">
      <c r="A16" s="52">
        <v>1</v>
      </c>
      <c r="B16" s="51"/>
      <c r="C16" s="53" t="s">
        <v>126</v>
      </c>
      <c r="D16" s="51"/>
      <c r="E16" s="48"/>
      <c r="F16" s="48"/>
      <c r="G16" s="66"/>
      <c r="H16" s="66"/>
      <c r="I16" s="66"/>
      <c r="J16" s="66"/>
      <c r="K16" s="66"/>
      <c r="L16" s="66"/>
      <c r="M16" s="66"/>
    </row>
    <row r="17" spans="1:15" ht="19.5">
      <c r="A17" s="52">
        <f>+A16+1</f>
        <v>2</v>
      </c>
      <c r="B17" s="51"/>
      <c r="C17" s="51" t="s">
        <v>111</v>
      </c>
      <c r="D17" s="51"/>
      <c r="E17" s="66">
        <f>+'WS H-p2 Detail of Tax Amts'!E14</f>
        <v>0</v>
      </c>
      <c r="F17" s="48"/>
      <c r="G17" s="66"/>
      <c r="H17" s="66"/>
      <c r="I17" s="66"/>
      <c r="J17" s="66"/>
      <c r="K17" s="66"/>
      <c r="L17" s="66"/>
      <c r="M17" s="66">
        <f>+E17</f>
        <v>0</v>
      </c>
    </row>
    <row r="18" spans="1:15" ht="19.5">
      <c r="A18" s="52"/>
      <c r="B18" s="51"/>
      <c r="C18" s="54"/>
      <c r="D18" s="51"/>
      <c r="E18" s="48"/>
      <c r="F18" s="48"/>
      <c r="G18" s="66"/>
      <c r="H18" s="66"/>
      <c r="I18" s="66"/>
      <c r="J18" s="66"/>
      <c r="K18" s="66"/>
      <c r="L18" s="66"/>
      <c r="M18" s="66"/>
    </row>
    <row r="19" spans="1:15" ht="19.5">
      <c r="A19" s="52">
        <f>+A17+1</f>
        <v>3</v>
      </c>
      <c r="B19" s="51"/>
      <c r="C19" s="53" t="s">
        <v>127</v>
      </c>
      <c r="D19" s="51"/>
      <c r="E19" s="48"/>
      <c r="F19" s="48"/>
      <c r="G19" s="66"/>
      <c r="H19" s="66"/>
      <c r="I19" s="66"/>
      <c r="J19" s="66"/>
      <c r="K19" s="66"/>
      <c r="L19" s="66"/>
      <c r="M19" s="66"/>
    </row>
    <row r="20" spans="1:15" ht="19.5">
      <c r="A20" s="52">
        <f>+A19+1</f>
        <v>4</v>
      </c>
      <c r="B20" s="51"/>
      <c r="C20" s="51" t="s">
        <v>807</v>
      </c>
      <c r="D20" s="51"/>
      <c r="E20" s="66">
        <f>'WS H-p2 Detail of Tax Amts'!E23</f>
        <v>1139000</v>
      </c>
      <c r="F20" s="51"/>
      <c r="G20" s="66">
        <f>+E20</f>
        <v>1139000</v>
      </c>
      <c r="H20" s="66"/>
      <c r="I20" s="66"/>
      <c r="J20" s="66"/>
      <c r="K20" s="66"/>
      <c r="L20" s="66"/>
      <c r="M20" s="66"/>
      <c r="O20"/>
    </row>
    <row r="21" spans="1:15" ht="19.5">
      <c r="A21" s="52">
        <f>+A20+1</f>
        <v>5</v>
      </c>
      <c r="B21" s="51"/>
      <c r="C21" s="51" t="s">
        <v>616</v>
      </c>
      <c r="D21" s="51"/>
      <c r="E21" s="66">
        <f>'WS H-p2 Detail of Tax Amts'!E30</f>
        <v>0</v>
      </c>
      <c r="F21" s="51"/>
      <c r="G21" s="66">
        <f>+E21</f>
        <v>0</v>
      </c>
      <c r="H21" s="66"/>
      <c r="I21" s="66"/>
      <c r="J21" s="66"/>
      <c r="K21" s="66"/>
      <c r="L21" s="66"/>
      <c r="M21" s="66"/>
      <c r="O21"/>
    </row>
    <row r="22" spans="1:15" ht="19.5">
      <c r="A22" s="52">
        <f>+A21+1</f>
        <v>6</v>
      </c>
      <c r="B22" s="51"/>
      <c r="C22" s="51" t="s">
        <v>617</v>
      </c>
      <c r="D22" s="51"/>
      <c r="E22" s="66">
        <f>'WS H-p2 Detail of Tax Amts'!E37</f>
        <v>0</v>
      </c>
      <c r="F22" s="51"/>
      <c r="G22" s="66">
        <f>+E22</f>
        <v>0</v>
      </c>
      <c r="H22" s="66"/>
      <c r="I22" s="66"/>
      <c r="J22" s="66"/>
      <c r="K22" s="66"/>
      <c r="L22" s="66"/>
      <c r="M22" s="66"/>
      <c r="O22"/>
    </row>
    <row r="23" spans="1:15" ht="19.5">
      <c r="A23" s="52">
        <f>+A22+1</f>
        <v>7</v>
      </c>
      <c r="B23" s="51"/>
      <c r="C23" s="51" t="s">
        <v>251</v>
      </c>
      <c r="D23" s="89"/>
      <c r="E23" s="66">
        <f>+'WS H-p2 Detail of Tax Amts'!E40</f>
        <v>0</v>
      </c>
      <c r="F23" s="48"/>
      <c r="G23" s="66">
        <f>+E23</f>
        <v>0</v>
      </c>
      <c r="H23" s="66"/>
      <c r="I23" s="66"/>
      <c r="J23" s="66"/>
      <c r="K23" s="66"/>
      <c r="L23" s="66"/>
      <c r="M23" s="66"/>
      <c r="O23"/>
    </row>
    <row r="24" spans="1:15" ht="19.5">
      <c r="A24" s="52"/>
      <c r="B24" s="51"/>
      <c r="C24" s="54"/>
      <c r="D24" s="51"/>
      <c r="E24" s="48"/>
      <c r="F24" s="48"/>
      <c r="G24" s="66"/>
      <c r="H24" s="66"/>
      <c r="I24" s="66"/>
      <c r="J24" s="66"/>
      <c r="K24" s="66"/>
      <c r="L24" s="66"/>
      <c r="M24" s="66"/>
      <c r="O24" s="413"/>
    </row>
    <row r="25" spans="1:15" ht="19.5">
      <c r="A25" s="52">
        <f>+A23+1</f>
        <v>8</v>
      </c>
      <c r="B25" s="51"/>
      <c r="C25" s="53" t="s">
        <v>128</v>
      </c>
      <c r="D25" s="51"/>
      <c r="E25" s="48"/>
      <c r="F25" s="48"/>
      <c r="G25" s="66"/>
      <c r="H25" s="66"/>
      <c r="I25" s="66"/>
      <c r="J25" s="66"/>
      <c r="K25" s="66"/>
      <c r="L25" s="66"/>
      <c r="M25" s="66"/>
      <c r="O25" s="413"/>
    </row>
    <row r="26" spans="1:15" ht="19.5">
      <c r="A26" s="52">
        <f>+A25+1</f>
        <v>9</v>
      </c>
      <c r="B26" s="51"/>
      <c r="C26" s="51" t="s">
        <v>124</v>
      </c>
      <c r="D26" s="51"/>
      <c r="E26" s="66">
        <f>+'WS H-p2 Detail of Tax Amts'!E50</f>
        <v>0</v>
      </c>
      <c r="F26" s="48"/>
      <c r="G26" s="66"/>
      <c r="H26" s="66"/>
      <c r="I26" s="66">
        <f>+E26</f>
        <v>0</v>
      </c>
      <c r="J26" s="66"/>
      <c r="K26" s="66"/>
      <c r="L26" s="66"/>
      <c r="M26" s="66"/>
      <c r="O26" s="413"/>
    </row>
    <row r="27" spans="1:15" ht="19.5">
      <c r="A27" s="52">
        <f>+A26+1</f>
        <v>10</v>
      </c>
      <c r="B27" s="51"/>
      <c r="C27" s="51" t="s">
        <v>117</v>
      </c>
      <c r="D27" s="51"/>
      <c r="E27" s="66">
        <f>+'WS H-p2 Detail of Tax Amts'!E52</f>
        <v>0</v>
      </c>
      <c r="F27" s="48"/>
      <c r="G27" s="48"/>
      <c r="H27" s="48"/>
      <c r="I27" s="66">
        <f>+E27</f>
        <v>0</v>
      </c>
      <c r="J27" s="51"/>
      <c r="K27" s="48"/>
      <c r="L27" s="48"/>
      <c r="M27" s="66"/>
    </row>
    <row r="28" spans="1:15" ht="19.5">
      <c r="A28" s="52">
        <f>+A27+1</f>
        <v>11</v>
      </c>
      <c r="B28" s="51"/>
      <c r="C28" s="51" t="s">
        <v>118</v>
      </c>
      <c r="D28" s="51"/>
      <c r="E28" s="66">
        <f>+'WS H-p2 Detail of Tax Amts'!E54</f>
        <v>0</v>
      </c>
      <c r="F28" s="48"/>
      <c r="G28" s="48"/>
      <c r="H28" s="48"/>
      <c r="I28" s="66">
        <f>+E28</f>
        <v>0</v>
      </c>
      <c r="J28" s="411"/>
      <c r="K28" s="48"/>
      <c r="L28" s="48"/>
      <c r="M28" s="66"/>
    </row>
    <row r="29" spans="1:15" ht="19.5">
      <c r="A29" s="52" t="s">
        <v>414</v>
      </c>
      <c r="B29" s="51"/>
      <c r="C29" s="48"/>
      <c r="D29" s="51"/>
      <c r="E29" s="48"/>
      <c r="F29" s="48"/>
      <c r="G29" s="48"/>
      <c r="H29" s="48"/>
      <c r="I29" s="414"/>
      <c r="J29" s="415"/>
      <c r="K29" s="416"/>
      <c r="L29" s="416"/>
      <c r="M29" s="66"/>
    </row>
    <row r="30" spans="1:15" ht="19.5">
      <c r="A30" s="52">
        <f>A28+1</f>
        <v>12</v>
      </c>
      <c r="B30" s="51"/>
      <c r="C30" s="417" t="s">
        <v>320</v>
      </c>
      <c r="D30" s="51"/>
      <c r="E30" s="107"/>
      <c r="F30" s="107"/>
      <c r="G30" s="107"/>
      <c r="H30" s="107"/>
      <c r="I30" s="418"/>
      <c r="J30" s="419"/>
      <c r="K30" s="420"/>
      <c r="L30" s="420"/>
      <c r="M30" s="421"/>
    </row>
    <row r="31" spans="1:15" ht="19.5">
      <c r="A31" s="52">
        <f>A30+1</f>
        <v>13</v>
      </c>
      <c r="B31" s="51"/>
      <c r="C31" s="51" t="s">
        <v>222</v>
      </c>
      <c r="D31" s="89"/>
      <c r="E31" s="66">
        <f>+'WS H-p2 Detail of Tax Amts'!E59</f>
        <v>0</v>
      </c>
      <c r="F31" s="48"/>
      <c r="G31" s="48"/>
      <c r="H31" s="48"/>
      <c r="I31" s="414"/>
      <c r="J31" s="415"/>
      <c r="K31" s="416"/>
      <c r="L31" s="416"/>
      <c r="M31" s="66">
        <f>E31</f>
        <v>0</v>
      </c>
    </row>
    <row r="32" spans="1:15" ht="19.5">
      <c r="A32" s="52"/>
      <c r="B32" s="51"/>
      <c r="C32" s="48"/>
      <c r="D32" s="51"/>
      <c r="E32" s="48"/>
      <c r="F32" s="48"/>
      <c r="G32" s="48"/>
      <c r="H32" s="48"/>
      <c r="I32" s="414"/>
      <c r="J32" s="415"/>
      <c r="K32" s="416"/>
      <c r="L32" s="416"/>
      <c r="M32" s="66"/>
    </row>
    <row r="33" spans="1:13" ht="19.5">
      <c r="A33" s="56">
        <f>A31+1</f>
        <v>14</v>
      </c>
      <c r="B33" s="57"/>
      <c r="C33" s="53" t="s">
        <v>125</v>
      </c>
      <c r="D33" s="58"/>
      <c r="E33" s="48"/>
      <c r="F33" s="48"/>
      <c r="G33" s="66"/>
      <c r="H33" s="66"/>
      <c r="I33" s="66"/>
      <c r="J33" s="66"/>
      <c r="K33" s="66"/>
      <c r="L33" s="66"/>
      <c r="M33" s="66"/>
    </row>
    <row r="34" spans="1:13" ht="19.5">
      <c r="A34" s="56">
        <f>A33+1</f>
        <v>15</v>
      </c>
      <c r="B34" s="57"/>
      <c r="C34" s="51" t="s">
        <v>221</v>
      </c>
      <c r="D34" s="58"/>
      <c r="E34" s="66">
        <f>+'WS H-p2 Detail of Tax Amts'!E62</f>
        <v>0</v>
      </c>
      <c r="F34" s="48"/>
      <c r="G34" s="66"/>
      <c r="H34" s="66"/>
      <c r="I34" s="66"/>
      <c r="J34" s="66"/>
      <c r="K34" s="66"/>
      <c r="L34" s="66"/>
      <c r="M34" s="66">
        <f>E34</f>
        <v>0</v>
      </c>
    </row>
    <row r="35" spans="1:13" ht="19.5">
      <c r="A35" s="52">
        <f>A34+1</f>
        <v>16</v>
      </c>
      <c r="B35" s="51"/>
      <c r="C35" s="51" t="s">
        <v>119</v>
      </c>
      <c r="D35" s="51"/>
      <c r="E35" s="66">
        <f>+'WS H-p2 Detail of Tax Amts'!E65</f>
        <v>0</v>
      </c>
      <c r="F35" s="48"/>
      <c r="G35" s="66"/>
      <c r="H35" s="66"/>
      <c r="I35" s="66"/>
      <c r="J35" s="66"/>
      <c r="K35" s="66">
        <f>+E35</f>
        <v>0</v>
      </c>
      <c r="L35" s="66"/>
      <c r="M35" s="66"/>
    </row>
    <row r="36" spans="1:13" ht="19.5">
      <c r="A36" s="52">
        <f t="shared" ref="A36:A41" si="0">+A35+1</f>
        <v>17</v>
      </c>
      <c r="B36" s="51"/>
      <c r="C36" s="51" t="s">
        <v>120</v>
      </c>
      <c r="D36"/>
      <c r="E36" s="66">
        <f>+'WS H-p2 Detail of Tax Amts'!E69</f>
        <v>0</v>
      </c>
      <c r="F36" s="48"/>
      <c r="G36" s="66"/>
      <c r="H36" s="66"/>
      <c r="I36" s="66"/>
      <c r="J36" s="66"/>
      <c r="K36" s="66">
        <f>+E36</f>
        <v>0</v>
      </c>
      <c r="L36" s="66"/>
      <c r="M36" s="66"/>
    </row>
    <row r="37" spans="1:13" ht="19.5">
      <c r="A37" s="52">
        <f>+A36+1</f>
        <v>18</v>
      </c>
      <c r="B37" s="51"/>
      <c r="C37" s="51" t="s">
        <v>121</v>
      </c>
      <c r="D37"/>
      <c r="E37" s="66">
        <f>'WS H-p2 Detail of Tax Amts'!E81</f>
        <v>0</v>
      </c>
      <c r="F37" s="48"/>
      <c r="G37" s="66"/>
      <c r="H37" s="66"/>
      <c r="I37" s="66"/>
      <c r="J37" s="66"/>
      <c r="K37" s="66">
        <f>+E37</f>
        <v>0</v>
      </c>
      <c r="L37" s="66"/>
      <c r="M37" s="66"/>
    </row>
    <row r="38" spans="1:13" ht="19.5">
      <c r="A38" s="52">
        <f t="shared" si="0"/>
        <v>19</v>
      </c>
      <c r="B38" s="51"/>
      <c r="C38" s="51" t="s">
        <v>122</v>
      </c>
      <c r="D38" s="51"/>
      <c r="E38" s="66">
        <f>+'WS H-p2 Detail of Tax Amts'!E86</f>
        <v>0</v>
      </c>
      <c r="F38" s="48"/>
      <c r="G38" s="66"/>
      <c r="H38" s="66"/>
      <c r="I38" s="66"/>
      <c r="J38" s="66"/>
      <c r="K38" s="66">
        <f>+E38</f>
        <v>0</v>
      </c>
      <c r="L38" s="66"/>
      <c r="M38" s="66"/>
    </row>
    <row r="39" spans="1:13" ht="19.5">
      <c r="A39" s="52">
        <f t="shared" si="0"/>
        <v>20</v>
      </c>
      <c r="B39" s="51"/>
      <c r="C39" s="51" t="s">
        <v>123</v>
      </c>
      <c r="D39" s="51"/>
      <c r="E39" s="66">
        <f>+'WS H-p2 Detail of Tax Amts'!E89</f>
        <v>0</v>
      </c>
      <c r="F39" s="48"/>
      <c r="G39" s="66"/>
      <c r="H39" s="66"/>
      <c r="I39" s="66"/>
      <c r="J39" s="66"/>
      <c r="K39" s="66"/>
      <c r="L39" s="66"/>
      <c r="M39" s="66">
        <f>+E39</f>
        <v>0</v>
      </c>
    </row>
    <row r="40" spans="1:13" ht="19.5">
      <c r="A40" s="52">
        <f t="shared" si="0"/>
        <v>21</v>
      </c>
      <c r="B40" s="48"/>
      <c r="C40" s="51" t="s">
        <v>112</v>
      </c>
      <c r="D40" s="48"/>
      <c r="E40" s="66">
        <f>+'WS H-p2 Detail of Tax Amts'!E95</f>
        <v>0</v>
      </c>
      <c r="F40" s="48"/>
      <c r="G40" s="66"/>
      <c r="H40" s="66"/>
      <c r="I40" s="66"/>
      <c r="J40" s="66"/>
      <c r="K40" s="66"/>
      <c r="L40" s="66"/>
      <c r="M40" s="66">
        <f>+E40</f>
        <v>0</v>
      </c>
    </row>
    <row r="41" spans="1:13" ht="19.5">
      <c r="A41" s="52">
        <f t="shared" si="0"/>
        <v>22</v>
      </c>
      <c r="B41" s="48"/>
      <c r="C41" s="51" t="s">
        <v>406</v>
      </c>
      <c r="D41" s="48"/>
      <c r="E41" s="66">
        <v>0</v>
      </c>
      <c r="F41" s="48"/>
      <c r="G41" s="66"/>
      <c r="H41" s="66"/>
      <c r="I41" s="66"/>
      <c r="J41" s="66"/>
      <c r="K41" s="66"/>
      <c r="L41" s="66"/>
      <c r="M41" s="66">
        <f>+E41</f>
        <v>0</v>
      </c>
    </row>
    <row r="42" spans="1:13" ht="19.5">
      <c r="A42" s="3"/>
      <c r="B42" s="41"/>
      <c r="C42" s="51"/>
      <c r="D42"/>
      <c r="E42"/>
      <c r="F42" s="48"/>
      <c r="H42" s="422"/>
      <c r="I42" s="423"/>
      <c r="J42" s="423"/>
      <c r="K42" s="416"/>
      <c r="L42" s="424"/>
      <c r="M42" s="424"/>
    </row>
    <row r="43" spans="1:13" ht="20.25" thickBot="1">
      <c r="A43" s="95">
        <f>+A41+1</f>
        <v>23</v>
      </c>
      <c r="B43" s="41"/>
      <c r="C43" s="51" t="s">
        <v>116</v>
      </c>
      <c r="D43"/>
      <c r="E43" s="425">
        <f>SUM(E17:E41)</f>
        <v>1139000</v>
      </c>
      <c r="F43" s="48"/>
      <c r="G43" s="425">
        <f>SUM(G17:G41)</f>
        <v>1139000</v>
      </c>
      <c r="H43" s="422"/>
      <c r="I43" s="425">
        <f>SUM(I17:I41)</f>
        <v>0</v>
      </c>
      <c r="J43" s="423"/>
      <c r="K43" s="425">
        <f>SUM(K17:K41)</f>
        <v>0</v>
      </c>
      <c r="L43" s="424"/>
      <c r="M43" s="425">
        <f>SUM(M17:M41)</f>
        <v>0</v>
      </c>
    </row>
    <row r="44" spans="1:13" ht="20.25" thickTop="1">
      <c r="A44" s="3"/>
      <c r="B44" s="41"/>
      <c r="C44" s="51" t="s">
        <v>181</v>
      </c>
      <c r="D44"/>
      <c r="E44"/>
      <c r="F44" s="48"/>
      <c r="G44" s="422"/>
      <c r="H44" s="422"/>
      <c r="I44" s="423"/>
      <c r="J44" s="154"/>
      <c r="K44" s="424"/>
      <c r="L44" s="424"/>
      <c r="M44" s="424"/>
    </row>
    <row r="45" spans="1:13" ht="19.5">
      <c r="A45" s="3"/>
      <c r="B45" s="41"/>
      <c r="C45" s="51" t="s">
        <v>5</v>
      </c>
      <c r="D45"/>
      <c r="E45"/>
      <c r="F45" s="48"/>
      <c r="G45" s="422"/>
      <c r="H45" s="422"/>
      <c r="I45" s="423"/>
      <c r="J45" s="154"/>
      <c r="K45" s="424"/>
      <c r="L45" s="424"/>
      <c r="M45" s="424"/>
    </row>
    <row r="46" spans="1:13" ht="19.5">
      <c r="A46" s="3"/>
      <c r="B46" s="41"/>
      <c r="C46" s="1179" t="s">
        <v>250</v>
      </c>
      <c r="D46" s="1179"/>
      <c r="E46" s="1179"/>
      <c r="F46" s="1179"/>
      <c r="G46" s="1179"/>
      <c r="H46" s="1179"/>
      <c r="I46" s="1179"/>
      <c r="J46" s="1179"/>
      <c r="K46" s="1179"/>
      <c r="L46" s="1179"/>
      <c r="M46" s="1179"/>
    </row>
    <row r="47" spans="1:13" ht="78">
      <c r="A47" s="52"/>
      <c r="C47" s="48"/>
      <c r="D47" s="48"/>
      <c r="E47" s="426" t="s">
        <v>321</v>
      </c>
      <c r="G47" s="427" t="s">
        <v>415</v>
      </c>
      <c r="H47" s="427"/>
      <c r="I47" s="426" t="s">
        <v>322</v>
      </c>
      <c r="J47" s="427"/>
      <c r="K47" s="427" t="s">
        <v>136</v>
      </c>
      <c r="L47" s="427"/>
      <c r="M47" s="427" t="s">
        <v>418</v>
      </c>
    </row>
    <row r="48" spans="1:13" ht="19.5">
      <c r="A48" s="52">
        <f>+A43+1</f>
        <v>24</v>
      </c>
      <c r="C48" s="107" t="str">
        <f>"Functionalized Net Plant (TCOS, Lns "&amp;TCOS!B83&amp;" thru "&amp;TCOS!B87&amp;")"</f>
        <v>Functionalized Net Plant (TCOS, Lns 33 thru 36)</v>
      </c>
      <c r="D48" s="48"/>
      <c r="E48" s="428">
        <v>0</v>
      </c>
      <c r="F48" s="107"/>
      <c r="G48" s="428">
        <f>+TCOS!G83</f>
        <v>125917698.81306815</v>
      </c>
      <c r="H48" s="107"/>
      <c r="I48" s="428">
        <v>0</v>
      </c>
      <c r="J48" s="107"/>
      <c r="K48" s="428">
        <f>+TCOS!G84</f>
        <v>21188310.643256824</v>
      </c>
      <c r="L48" s="48"/>
      <c r="M48" s="429">
        <f>SUM(E48:K48)</f>
        <v>147106009.45632496</v>
      </c>
    </row>
    <row r="49" spans="1:21" ht="19.5">
      <c r="A49" s="52"/>
      <c r="C49" s="54" t="s">
        <v>806</v>
      </c>
      <c r="D49" s="48"/>
      <c r="E49" s="429"/>
      <c r="F49" s="48"/>
      <c r="G49" s="430"/>
      <c r="H49" s="48"/>
      <c r="I49" s="429"/>
      <c r="J49" s="48"/>
      <c r="K49" s="429"/>
      <c r="L49" s="48"/>
      <c r="M49" s="431"/>
    </row>
    <row r="50" spans="1:21" ht="19.5">
      <c r="A50" s="52">
        <f>+A48+1</f>
        <v>25</v>
      </c>
      <c r="C50" s="48" t="str">
        <f>"Percentage of Plant in "&amp;C49&amp;""</f>
        <v>Percentage of Plant in KENTUCKY JURISDICTION</v>
      </c>
      <c r="D50" s="48"/>
      <c r="E50" s="443"/>
      <c r="F50" s="432"/>
      <c r="G50" s="443">
        <v>1</v>
      </c>
      <c r="H50" s="432"/>
      <c r="I50" s="443"/>
      <c r="J50" s="432"/>
      <c r="K50" s="443">
        <v>1</v>
      </c>
      <c r="L50" s="48"/>
      <c r="M50" s="431"/>
    </row>
    <row r="51" spans="1:21" ht="19.5">
      <c r="A51" s="52">
        <f t="shared" ref="A51:A58" si="1">+A50+1</f>
        <v>26</v>
      </c>
      <c r="C51" s="107" t="str">
        <f>"Net Plant in "&amp;C49&amp;" (Ln "&amp;A48&amp;" * Ln "&amp;A50&amp;")"</f>
        <v>Net Plant in KENTUCKY JURISDICTION (Ln 24 * Ln 25)</v>
      </c>
      <c r="D51" s="48"/>
      <c r="E51" s="429">
        <f>+E48*E50</f>
        <v>0</v>
      </c>
      <c r="F51" s="48"/>
      <c r="G51" s="429">
        <f>+G48*G50</f>
        <v>125917698.81306815</v>
      </c>
      <c r="H51" s="48"/>
      <c r="I51" s="429">
        <f>+I48*I50</f>
        <v>0</v>
      </c>
      <c r="J51" s="48"/>
      <c r="K51" s="429">
        <f>+K48*K50</f>
        <v>21188310.643256824</v>
      </c>
      <c r="L51" s="48"/>
      <c r="M51" s="429">
        <f>SUM(E51:K51)</f>
        <v>147106009.45632496</v>
      </c>
      <c r="O51"/>
    </row>
    <row r="52" spans="1:21" ht="19.5">
      <c r="A52" s="52">
        <f t="shared" si="1"/>
        <v>27</v>
      </c>
      <c r="C52" s="107" t="s">
        <v>549</v>
      </c>
      <c r="D52" s="48"/>
      <c r="E52" s="443"/>
      <c r="F52" s="48"/>
      <c r="G52" s="433"/>
      <c r="H52" s="48"/>
      <c r="I52" s="433"/>
      <c r="J52" s="48"/>
      <c r="K52" s="433"/>
      <c r="L52" s="48"/>
      <c r="M52" s="429"/>
      <c r="O52"/>
    </row>
    <row r="53" spans="1:21" ht="19.5">
      <c r="A53" s="52">
        <f t="shared" si="1"/>
        <v>28</v>
      </c>
      <c r="C53" s="48" t="str">
        <f>"Taxable Property Basis (Ln "&amp;A51&amp;" - Ln "&amp;A52&amp;")"</f>
        <v>Taxable Property Basis (Ln 26 - Ln 27)</v>
      </c>
      <c r="D53" s="48"/>
      <c r="E53" s="429">
        <f>+E51-E52</f>
        <v>0</v>
      </c>
      <c r="F53" s="48"/>
      <c r="G53" s="429">
        <f>+G51-G52</f>
        <v>125917698.81306815</v>
      </c>
      <c r="H53" s="48"/>
      <c r="I53" s="429">
        <f>+I51-I52</f>
        <v>0</v>
      </c>
      <c r="J53" s="48"/>
      <c r="K53" s="429">
        <f>+K51-K52</f>
        <v>21188310.643256824</v>
      </c>
      <c r="L53" s="48"/>
      <c r="M53" s="429">
        <f>SUM(E53:K53)</f>
        <v>147106009.45632496</v>
      </c>
      <c r="O53"/>
    </row>
    <row r="54" spans="1:21" ht="19.5">
      <c r="A54" s="52">
        <f t="shared" si="1"/>
        <v>29</v>
      </c>
      <c r="C54" s="66" t="s">
        <v>248</v>
      </c>
      <c r="D54" s="48"/>
      <c r="E54" s="443"/>
      <c r="F54" s="432"/>
      <c r="G54" s="443"/>
      <c r="H54" s="432"/>
      <c r="I54" s="443"/>
      <c r="J54" s="432"/>
      <c r="K54" s="443"/>
      <c r="L54" s="48"/>
      <c r="M54" s="429">
        <f>SUM(E54:K54)</f>
        <v>0</v>
      </c>
      <c r="O54"/>
    </row>
    <row r="55" spans="1:21" ht="19.5">
      <c r="A55" s="52">
        <f t="shared" si="1"/>
        <v>30</v>
      </c>
      <c r="C55" s="107" t="str">
        <f>"Weighted Net Plant (Ln "&amp;A53&amp;" * Ln "&amp;A54&amp;")"</f>
        <v>Weighted Net Plant (Ln 28 * Ln 29)</v>
      </c>
      <c r="D55" s="48"/>
      <c r="E55" s="429">
        <f>+E53*E54</f>
        <v>0</v>
      </c>
      <c r="F55" s="48"/>
      <c r="G55" s="429">
        <f>+G53*G54</f>
        <v>0</v>
      </c>
      <c r="H55" s="48"/>
      <c r="I55" s="429">
        <f>+I53*I54</f>
        <v>0</v>
      </c>
      <c r="J55" s="48"/>
      <c r="K55" s="429">
        <f>+K53*K54</f>
        <v>0</v>
      </c>
      <c r="L55" s="48"/>
      <c r="M55" s="429"/>
      <c r="O55"/>
      <c r="P55"/>
      <c r="Q55"/>
      <c r="R55"/>
      <c r="S55"/>
      <c r="T55"/>
      <c r="U55"/>
    </row>
    <row r="56" spans="1:21" ht="19.5">
      <c r="A56" s="52">
        <f t="shared" si="1"/>
        <v>31</v>
      </c>
      <c r="C56" s="48" t="str">
        <f>+"General Plant Allocator (Ln "&amp;A55&amp;" / (Total - General Plant))"</f>
        <v>General Plant Allocator (Ln 30 / (Total - General Plant))</v>
      </c>
      <c r="D56" s="48"/>
      <c r="E56" s="434">
        <f>IF(E54=0,0,+E55/($E55+$G55+$I55))</f>
        <v>0</v>
      </c>
      <c r="F56" s="48"/>
      <c r="G56" s="434">
        <v>1</v>
      </c>
      <c r="H56" s="48"/>
      <c r="I56" s="434">
        <f>IF(I54=0,0,+I55/($E55+$G55+$I55))</f>
        <v>0</v>
      </c>
      <c r="J56" s="48"/>
      <c r="K56" s="434">
        <v>-1</v>
      </c>
      <c r="L56" s="48"/>
      <c r="M56" s="48"/>
      <c r="O56"/>
      <c r="P56"/>
      <c r="Q56"/>
      <c r="R56"/>
      <c r="S56"/>
      <c r="T56"/>
      <c r="U56"/>
    </row>
    <row r="57" spans="1:21" ht="19.5">
      <c r="A57" s="52">
        <f t="shared" si="1"/>
        <v>32</v>
      </c>
      <c r="C57" s="48" t="str">
        <f>"Functionalized General Plant (Ln "&amp;A56&amp;" * General Plant)"</f>
        <v>Functionalized General Plant (Ln 31 * General Plant)</v>
      </c>
      <c r="D57" s="48"/>
      <c r="E57" s="435">
        <f>ROUND($K55*E56,0)</f>
        <v>0</v>
      </c>
      <c r="F57" s="48"/>
      <c r="G57" s="435">
        <f>+G56*K55</f>
        <v>0</v>
      </c>
      <c r="H57" s="48"/>
      <c r="I57" s="435">
        <f>ROUND($K55*I56,0)</f>
        <v>0</v>
      </c>
      <c r="J57" s="48"/>
      <c r="K57" s="435">
        <f>ROUND($K55*K56,0)</f>
        <v>0</v>
      </c>
      <c r="L57" s="48"/>
      <c r="M57" s="429">
        <f>IF(SUM(E57:K57)&lt;&gt;0,0,0)</f>
        <v>0</v>
      </c>
      <c r="O57"/>
      <c r="P57"/>
      <c r="Q57"/>
      <c r="R57"/>
      <c r="S57"/>
      <c r="T57"/>
      <c r="U57"/>
    </row>
    <row r="58" spans="1:21" ht="19.5">
      <c r="A58" s="52">
        <f t="shared" si="1"/>
        <v>33</v>
      </c>
      <c r="C58" s="48" t="str">
        <f>"Weighted "&amp;C49&amp;" Plant (Ln "&amp;A55&amp;" + "&amp;A57&amp;")"</f>
        <v>Weighted KENTUCKY JURISDICTION Plant (Ln 30 + 32)</v>
      </c>
      <c r="D58" s="48"/>
      <c r="E58" s="429">
        <f>+E55+E57</f>
        <v>0</v>
      </c>
      <c r="F58" s="48"/>
      <c r="G58" s="429">
        <f>+G55+G57</f>
        <v>0</v>
      </c>
      <c r="H58" s="48"/>
      <c r="I58" s="429">
        <f>+I55+I57</f>
        <v>0</v>
      </c>
      <c r="J58" s="48"/>
      <c r="K58" s="429">
        <f>+K55+K57</f>
        <v>0</v>
      </c>
      <c r="L58" s="48"/>
      <c r="M58" s="429">
        <f>SUM(E58:K58)-SUM(E57:K57)</f>
        <v>0</v>
      </c>
      <c r="O58"/>
    </row>
    <row r="59" spans="1:21" ht="19.5">
      <c r="A59" s="52">
        <f>+A58+1</f>
        <v>34</v>
      </c>
      <c r="C59" s="48" t="str">
        <f>"Functional Percentage (Ln "&amp;A58&amp;"/Total Ln "&amp;A58&amp;")"</f>
        <v>Functional Percentage (Ln 33/Total Ln 33)</v>
      </c>
      <c r="D59" s="48"/>
      <c r="E59" s="430">
        <f>IF(E58=0,0,+E58/$M$58)</f>
        <v>0</v>
      </c>
      <c r="F59" s="48"/>
      <c r="G59" s="430">
        <v>1</v>
      </c>
      <c r="H59" s="48"/>
      <c r="I59" s="430">
        <f>IF(I58=0,0,+I58/$M$58)</f>
        <v>0</v>
      </c>
      <c r="J59" s="48"/>
      <c r="K59"/>
      <c r="L59" s="48"/>
      <c r="M59" s="429"/>
      <c r="O59"/>
    </row>
    <row r="60" spans="1:21" ht="19.5">
      <c r="A60" s="52"/>
      <c r="C60" s="440" t="s">
        <v>618</v>
      </c>
      <c r="D60" s="48"/>
      <c r="E60" s="429"/>
      <c r="F60" s="48"/>
      <c r="G60" s="436"/>
      <c r="H60" s="48"/>
      <c r="I60" s="429"/>
      <c r="J60" s="48"/>
      <c r="K60" s="430"/>
      <c r="L60" s="48"/>
      <c r="M60" s="429"/>
      <c r="O60"/>
    </row>
    <row r="61" spans="1:21" ht="19.5">
      <c r="A61" s="52">
        <f>A59+1</f>
        <v>35</v>
      </c>
      <c r="C61" s="441" t="str">
        <f>"Net Plant in "&amp;C60&amp;" (Ln "&amp;A48&amp;" - Ln "&amp;A51&amp;")"</f>
        <v>Net Plant in ____________ JURISDICTION (Ln 24 - Ln 26)</v>
      </c>
      <c r="D61" s="48"/>
      <c r="E61" s="429">
        <f>+E48-E51</f>
        <v>0</v>
      </c>
      <c r="F61" s="48"/>
      <c r="G61" s="429">
        <f>+G48-G51</f>
        <v>0</v>
      </c>
      <c r="H61" s="48"/>
      <c r="I61" s="429">
        <f>+I48-I51</f>
        <v>0</v>
      </c>
      <c r="J61" s="48"/>
      <c r="K61" s="429">
        <f>+K48-K51</f>
        <v>0</v>
      </c>
      <c r="L61" s="48"/>
      <c r="M61" s="429">
        <f>SUM(E61:K61)</f>
        <v>0</v>
      </c>
      <c r="O61"/>
    </row>
    <row r="62" spans="1:21" ht="19.5">
      <c r="A62" s="52">
        <f t="shared" ref="A62:A68" si="2">+A61+1</f>
        <v>36</v>
      </c>
      <c r="C62" s="107" t="s">
        <v>548</v>
      </c>
      <c r="D62" s="48"/>
      <c r="E62" s="443"/>
      <c r="F62" s="48"/>
      <c r="G62" s="433"/>
      <c r="H62" s="48"/>
      <c r="I62" s="433"/>
      <c r="J62" s="48"/>
      <c r="K62" s="433"/>
      <c r="L62" s="48"/>
      <c r="M62" s="429"/>
      <c r="O62"/>
    </row>
    <row r="63" spans="1:21" ht="19.5">
      <c r="A63" s="52">
        <f t="shared" si="2"/>
        <v>37</v>
      </c>
      <c r="C63" s="48" t="s">
        <v>249</v>
      </c>
      <c r="D63" s="48"/>
      <c r="E63" s="429">
        <f>+E61-E62</f>
        <v>0</v>
      </c>
      <c r="F63" s="48"/>
      <c r="G63" s="429">
        <f>+G61-G62</f>
        <v>0</v>
      </c>
      <c r="H63" s="48"/>
      <c r="I63" s="429">
        <f>+I61-I62</f>
        <v>0</v>
      </c>
      <c r="J63" s="48"/>
      <c r="K63" s="429">
        <f>+K61-K62</f>
        <v>0</v>
      </c>
      <c r="L63" s="48"/>
      <c r="M63" s="429">
        <f>SUM(E63:K63)</f>
        <v>0</v>
      </c>
      <c r="O63"/>
    </row>
    <row r="64" spans="1:21" ht="19.5">
      <c r="A64" s="52">
        <f t="shared" si="2"/>
        <v>38</v>
      </c>
      <c r="C64" s="66" t="s">
        <v>248</v>
      </c>
      <c r="D64" s="48"/>
      <c r="E64" s="443"/>
      <c r="F64" s="432"/>
      <c r="G64" s="443"/>
      <c r="H64" s="432"/>
      <c r="I64" s="443"/>
      <c r="J64" s="432"/>
      <c r="K64" s="443"/>
      <c r="L64" s="48"/>
      <c r="M64" s="429"/>
      <c r="O64"/>
    </row>
    <row r="65" spans="1:15" ht="19.5">
      <c r="A65" s="52">
        <f t="shared" si="2"/>
        <v>39</v>
      </c>
      <c r="C65" s="48" t="str">
        <f>"Weighted Net Plant (Ln "&amp;A63&amp;" * Ln "&amp;A64&amp;")"</f>
        <v>Weighted Net Plant (Ln 37 * Ln 38)</v>
      </c>
      <c r="D65" s="48"/>
      <c r="E65" s="429">
        <f>+E63*E64</f>
        <v>0</v>
      </c>
      <c r="F65" s="48"/>
      <c r="G65" s="429">
        <f>+G63*G64</f>
        <v>0</v>
      </c>
      <c r="H65" s="48"/>
      <c r="I65" s="429">
        <f>+I63*I64</f>
        <v>0</v>
      </c>
      <c r="J65" s="48"/>
      <c r="K65" s="429">
        <f>+K63*K64</f>
        <v>0</v>
      </c>
      <c r="L65" s="48"/>
      <c r="M65" s="429"/>
      <c r="O65"/>
    </row>
    <row r="66" spans="1:15" ht="19.5">
      <c r="A66" s="52">
        <f t="shared" si="2"/>
        <v>40</v>
      </c>
      <c r="C66" s="48" t="str">
        <f>+"General Plant Allocator (Ln "&amp;A65&amp;" / (Total - General Plant)"</f>
        <v>General Plant Allocator (Ln 39 / (Total - General Plant)</v>
      </c>
      <c r="D66" s="48"/>
      <c r="E66" s="434">
        <f>IF(E64=0,0,+E65/($E65+$G65+$I65))</f>
        <v>0</v>
      </c>
      <c r="F66" s="48"/>
      <c r="G66" s="434">
        <v>1</v>
      </c>
      <c r="H66" s="48"/>
      <c r="I66" s="434">
        <f>IF(I64=0,0,+I65/($E65+$G65+$I65))</f>
        <v>0</v>
      </c>
      <c r="J66" s="48"/>
      <c r="K66" s="434">
        <v>-1</v>
      </c>
      <c r="L66" s="48"/>
      <c r="M66" s="429"/>
      <c r="O66"/>
    </row>
    <row r="67" spans="1:15" ht="19.5">
      <c r="A67" s="52">
        <f t="shared" si="2"/>
        <v>41</v>
      </c>
      <c r="C67" s="48" t="str">
        <f>"Functionalized General Plant (Ln "&amp;A67&amp;" * General Plant)"</f>
        <v>Functionalized General Plant (Ln 41 * General Plant)</v>
      </c>
      <c r="D67" s="48"/>
      <c r="E67" s="435">
        <f>ROUND($K65*E66,0)</f>
        <v>0</v>
      </c>
      <c r="F67" s="48"/>
      <c r="G67" s="435">
        <f>ROUND($K65*G66,0)</f>
        <v>0</v>
      </c>
      <c r="H67" s="48"/>
      <c r="I67" s="435">
        <f>ROUND($K65*I66,0)</f>
        <v>0</v>
      </c>
      <c r="J67" s="48"/>
      <c r="K67" s="435">
        <f>ROUND($K65*K66,0)</f>
        <v>0</v>
      </c>
      <c r="L67" s="48"/>
      <c r="M67" s="429"/>
      <c r="O67"/>
    </row>
    <row r="68" spans="1:15" ht="19.5">
      <c r="A68" s="52">
        <f t="shared" si="2"/>
        <v>42</v>
      </c>
      <c r="C68" s="442" t="str">
        <f>"Weighted "&amp;C60&amp;" Plant (Ln "&amp;A65&amp;" + "&amp;A67&amp;")"</f>
        <v>Weighted ____________ JURISDICTION Plant (Ln 39 + 41)</v>
      </c>
      <c r="D68" s="48"/>
      <c r="E68" s="429">
        <f>+E65+E67</f>
        <v>0</v>
      </c>
      <c r="F68" s="48"/>
      <c r="G68" s="429">
        <f>+G65+G67</f>
        <v>0</v>
      </c>
      <c r="H68" s="48"/>
      <c r="I68" s="429">
        <f>+I65+I67</f>
        <v>0</v>
      </c>
      <c r="J68" s="48"/>
      <c r="K68" s="429">
        <f>+K65+K67</f>
        <v>0</v>
      </c>
      <c r="L68" s="48"/>
      <c r="M68" s="429">
        <f>SUM(E68:K68)-SUM(E67:K67)</f>
        <v>0</v>
      </c>
      <c r="O68"/>
    </row>
    <row r="69" spans="1:15" ht="19.5">
      <c r="A69" s="52">
        <f>+A68+1</f>
        <v>43</v>
      </c>
      <c r="C69" s="48" t="str">
        <f>"Functional Percentage (Ln "&amp;A68&amp;"/Total Ln "&amp;A68&amp;")"</f>
        <v>Functional Percentage (Ln 42/Total Ln 42)</v>
      </c>
      <c r="D69" s="48"/>
      <c r="E69" s="430">
        <f>IF(E68=0,0,+E68/$M$68)</f>
        <v>0</v>
      </c>
      <c r="F69" s="48"/>
      <c r="G69" s="430">
        <v>1</v>
      </c>
      <c r="H69" s="48"/>
      <c r="I69" s="430">
        <f>IF(I68=0,0,+I68/$M$68)</f>
        <v>0</v>
      </c>
      <c r="J69"/>
      <c r="K69"/>
      <c r="L69" s="48"/>
      <c r="M69" s="429"/>
      <c r="O69"/>
    </row>
    <row r="70" spans="1:15" ht="19.5">
      <c r="A70" s="52"/>
      <c r="C70" s="48"/>
      <c r="D70" s="48"/>
      <c r="E70" s="66"/>
      <c r="F70" s="66"/>
      <c r="G70" s="66"/>
      <c r="H70" s="66"/>
      <c r="I70" s="66"/>
      <c r="J70" s="48"/>
      <c r="K70" s="437"/>
      <c r="L70" s="48"/>
      <c r="M70" s="66"/>
      <c r="O70"/>
    </row>
    <row r="71" spans="1:15" ht="19.5">
      <c r="A71" s="52"/>
      <c r="D71" s="48"/>
      <c r="E71" s="437"/>
      <c r="F71" s="48"/>
      <c r="G71" s="437"/>
      <c r="H71" s="48"/>
      <c r="I71" s="437"/>
      <c r="J71" s="48"/>
      <c r="K71" s="437"/>
      <c r="L71" s="48"/>
      <c r="M71" s="66"/>
      <c r="O71"/>
    </row>
    <row r="72" spans="1:15" ht="12.75">
      <c r="O72"/>
    </row>
    <row r="73" spans="1:15" ht="12.75">
      <c r="O73"/>
    </row>
    <row r="74" spans="1:15" ht="12.75">
      <c r="G74" s="438"/>
      <c r="O74"/>
    </row>
    <row r="215" spans="7:7" ht="15.75" thickBot="1"/>
    <row r="216" spans="7:7" ht="20.25" thickBot="1">
      <c r="G216" s="439"/>
    </row>
  </sheetData>
  <mergeCells count="7">
    <mergeCell ref="A8:M8"/>
    <mergeCell ref="A7:M7"/>
    <mergeCell ref="C46:M46"/>
    <mergeCell ref="A3:M3"/>
    <mergeCell ref="A4:M4"/>
    <mergeCell ref="A5:M5"/>
    <mergeCell ref="A6:M6"/>
  </mergeCells>
  <phoneticPr fontId="70" type="noConversion"/>
  <pageMargins left="0.82" right="1.28" top="0.81" bottom="1" header="0.75" footer="0.5"/>
  <pageSetup scale="37" orientation="portrait" r:id="rId1"/>
  <headerFooter alignWithMargins="0">
    <oddHeader>&amp;R&amp;"Arial,Bold"Formula Rate 
&amp;A
Page &amp;P of &amp;N</oddHeader>
  </headerFooter>
  <colBreaks count="1" manualBreakCount="1">
    <brk id="13" min="2" max="90"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T117"/>
  <sheetViews>
    <sheetView view="pageBreakPreview" topLeftCell="A66" zoomScale="60" zoomScaleNormal="60" workbookViewId="0">
      <selection activeCell="F99" sqref="F99"/>
    </sheetView>
  </sheetViews>
  <sheetFormatPr defaultRowHeight="12.75"/>
  <cols>
    <col min="1" max="1" width="7.28515625" style="59" customWidth="1"/>
    <col min="2" max="2" width="1.7109375" style="50" customWidth="1"/>
    <col min="3" max="3" width="65" style="50" customWidth="1"/>
    <col min="4" max="4" width="19.140625" style="50" customWidth="1"/>
    <col min="5" max="5" width="20.42578125" style="55" customWidth="1"/>
    <col min="6" max="6" width="20.42578125" style="50" bestFit="1" customWidth="1"/>
    <col min="7" max="7" width="35.7109375" style="50" bestFit="1" customWidth="1"/>
    <col min="8" max="8" width="17.7109375" style="50" customWidth="1"/>
    <col min="9" max="9" width="22.42578125" style="50" customWidth="1"/>
    <col min="10" max="16384" width="9.140625" style="50"/>
  </cols>
  <sheetData>
    <row r="1" spans="1:20" ht="15.75">
      <c r="A1" s="696" t="s">
        <v>414</v>
      </c>
    </row>
    <row r="2" spans="1:20" ht="15.75">
      <c r="A2" s="696" t="s">
        <v>414</v>
      </c>
    </row>
    <row r="3" spans="1:20" ht="18.75" customHeight="1">
      <c r="A3" s="1141" t="str">
        <f>TCOS!$F$5</f>
        <v>AEPTCo subsidiaries in PJM</v>
      </c>
      <c r="B3" s="1141" t="str">
        <f>TCOS!$F$5</f>
        <v>AEPTCo subsidiaries in PJM</v>
      </c>
      <c r="C3" s="1141" t="str">
        <f>TCOS!$F$5</f>
        <v>AEPTCo subsidiaries in PJM</v>
      </c>
      <c r="D3" s="1141" t="str">
        <f>TCOS!$F$5</f>
        <v>AEPTCo subsidiaries in PJM</v>
      </c>
      <c r="E3" s="1141" t="str">
        <f>TCOS!$F$5</f>
        <v>AEPTCo subsidiaries in PJM</v>
      </c>
      <c r="F3" s="1181"/>
      <c r="G3" s="1181"/>
    </row>
    <row r="4" spans="1:20" ht="18.75" customHeight="1">
      <c r="A4" s="1141" t="str">
        <f>"Cost of Service Formula Rate Using Actual/Projected FF1 Balances"</f>
        <v>Cost of Service Formula Rate Using Actual/Projected FF1 Balances</v>
      </c>
      <c r="B4" s="1141"/>
      <c r="C4" s="1141"/>
      <c r="D4" s="1141"/>
      <c r="E4" s="1141"/>
      <c r="F4" s="1181"/>
      <c r="G4" s="1181"/>
      <c r="H4" s="1141"/>
      <c r="I4" s="1141"/>
      <c r="J4" s="1141"/>
      <c r="K4" s="1141"/>
      <c r="L4" s="1141"/>
      <c r="M4" s="1181"/>
    </row>
    <row r="5" spans="1:20" ht="18.75" customHeight="1">
      <c r="A5" s="1142" t="s">
        <v>254</v>
      </c>
      <c r="B5" s="1142"/>
      <c r="C5" s="1142"/>
      <c r="D5" s="1142"/>
      <c r="E5" s="1142"/>
      <c r="F5" s="1181"/>
      <c r="G5" s="1181"/>
    </row>
    <row r="6" spans="1:20" ht="18" customHeight="1">
      <c r="A6" s="1183" t="str">
        <f>+TCOS!F9</f>
        <v>AEP Kentucky Transmission Company</v>
      </c>
      <c r="B6" s="1183"/>
      <c r="C6" s="1183"/>
      <c r="D6" s="1183"/>
      <c r="E6" s="1183"/>
      <c r="F6" s="1138"/>
      <c r="G6" s="1138"/>
      <c r="H6" s="106"/>
      <c r="I6" s="106"/>
      <c r="J6" s="106"/>
      <c r="K6" s="106"/>
      <c r="L6" s="106"/>
      <c r="M6" s="106"/>
    </row>
    <row r="7" spans="1:20" ht="18" customHeight="1">
      <c r="A7" s="67"/>
      <c r="B7" s="67"/>
      <c r="C7" s="67"/>
      <c r="D7" s="67"/>
      <c r="E7" s="67"/>
      <c r="F7" s="67"/>
    </row>
    <row r="8" spans="1:20" ht="19.5" customHeight="1">
      <c r="A8" s="52"/>
      <c r="B8" s="51"/>
      <c r="C8" s="15" t="s">
        <v>460</v>
      </c>
      <c r="E8" s="15" t="s">
        <v>461</v>
      </c>
      <c r="F8" s="15" t="s">
        <v>462</v>
      </c>
      <c r="G8" s="15" t="s">
        <v>463</v>
      </c>
    </row>
    <row r="9" spans="1:20" ht="18">
      <c r="A9" s="80"/>
      <c r="B9" s="81"/>
      <c r="C9" s="81"/>
      <c r="D9" s="81"/>
      <c r="E9"/>
      <c r="F9"/>
      <c r="G9" s="17"/>
      <c r="H9" s="17"/>
      <c r="I9" s="17"/>
      <c r="J9" s="17"/>
      <c r="K9" s="17"/>
      <c r="L9" s="17"/>
      <c r="M9" s="17"/>
      <c r="N9" s="17"/>
      <c r="O9" s="17"/>
      <c r="P9" s="17"/>
      <c r="Q9" s="17"/>
      <c r="R9" s="17"/>
      <c r="S9" s="17"/>
      <c r="T9" s="17"/>
    </row>
    <row r="10" spans="1:20" ht="18">
      <c r="A10" s="80" t="s">
        <v>467</v>
      </c>
      <c r="B10" s="81"/>
      <c r="C10" s="81"/>
      <c r="D10" s="81"/>
      <c r="E10" s="82" t="s">
        <v>418</v>
      </c>
      <c r="F10" s="80" t="s">
        <v>2</v>
      </c>
    </row>
    <row r="11" spans="1:20" ht="18">
      <c r="A11" s="83" t="s">
        <v>417</v>
      </c>
      <c r="B11" s="99"/>
      <c r="C11" s="83" t="s">
        <v>268</v>
      </c>
      <c r="D11" s="99"/>
      <c r="E11" s="84" t="s">
        <v>481</v>
      </c>
      <c r="F11" s="83" t="s">
        <v>3</v>
      </c>
      <c r="G11" s="84" t="s">
        <v>4</v>
      </c>
    </row>
    <row r="12" spans="1:20" ht="18">
      <c r="A12" s="52"/>
      <c r="B12" s="51"/>
      <c r="C12" s="49"/>
      <c r="D12" s="49"/>
      <c r="E12" s="49"/>
      <c r="F12" s="80"/>
      <c r="G12" s="82"/>
    </row>
    <row r="13" spans="1:20" ht="19.5">
      <c r="A13" s="52">
        <v>1</v>
      </c>
      <c r="B13" s="51"/>
      <c r="C13" s="53" t="s">
        <v>126</v>
      </c>
      <c r="D13" s="51"/>
      <c r="E13" s="48"/>
      <c r="F13" s="51"/>
    </row>
    <row r="14" spans="1:20" ht="19.5">
      <c r="A14" s="52">
        <f>+A13+1</f>
        <v>2</v>
      </c>
      <c r="B14" s="51"/>
      <c r="C14" s="48" t="s">
        <v>111</v>
      </c>
      <c r="D14" s="51"/>
      <c r="E14" s="66">
        <f>SUM(F15:F21)</f>
        <v>0</v>
      </c>
      <c r="F14" s="48"/>
    </row>
    <row r="15" spans="1:20" ht="19.5">
      <c r="A15" s="52"/>
      <c r="B15" s="51"/>
      <c r="C15" s="48"/>
      <c r="D15" s="51"/>
      <c r="E15" s="100"/>
      <c r="F15" s="444">
        <v>0</v>
      </c>
      <c r="G15" s="101"/>
    </row>
    <row r="16" spans="1:20" ht="19.5">
      <c r="A16" s="52"/>
      <c r="B16" s="51"/>
      <c r="C16" s="48"/>
      <c r="D16" s="51"/>
      <c r="E16" s="100"/>
      <c r="F16" s="444"/>
      <c r="G16" s="101"/>
    </row>
    <row r="17" spans="1:9" ht="19.5">
      <c r="A17" s="52"/>
      <c r="B17" s="51"/>
      <c r="C17" s="48"/>
      <c r="D17" s="51"/>
      <c r="E17" s="100"/>
      <c r="F17" s="444"/>
      <c r="G17" s="101"/>
    </row>
    <row r="18" spans="1:9" ht="19.5">
      <c r="A18" s="741"/>
      <c r="B18" s="702"/>
      <c r="C18" s="700"/>
      <c r="D18" s="702"/>
      <c r="E18" s="699"/>
      <c r="F18" s="698"/>
      <c r="G18" s="697"/>
      <c r="H18" s="701"/>
      <c r="I18" s="701"/>
    </row>
    <row r="19" spans="1:9" ht="18">
      <c r="A19" s="52"/>
      <c r="B19" s="51"/>
      <c r="C19" s="882" t="s">
        <v>460</v>
      </c>
      <c r="D19" s="882" t="s">
        <v>461</v>
      </c>
      <c r="E19" s="882" t="s">
        <v>462</v>
      </c>
      <c r="F19" s="882" t="s">
        <v>463</v>
      </c>
      <c r="G19" s="882" t="s">
        <v>383</v>
      </c>
      <c r="H19" s="883" t="s">
        <v>384</v>
      </c>
      <c r="I19" s="882" t="s">
        <v>385</v>
      </c>
    </row>
    <row r="20" spans="1:9" ht="47.25">
      <c r="A20" s="52"/>
      <c r="B20" s="51"/>
      <c r="C20" s="884" t="s">
        <v>700</v>
      </c>
      <c r="D20" s="885" t="s">
        <v>696</v>
      </c>
      <c r="E20" s="885" t="s">
        <v>697</v>
      </c>
      <c r="F20" s="885" t="s">
        <v>698</v>
      </c>
      <c r="G20" s="885" t="s">
        <v>4</v>
      </c>
      <c r="H20" s="886" t="s">
        <v>699</v>
      </c>
      <c r="I20" s="886" t="s">
        <v>701</v>
      </c>
    </row>
    <row r="21" spans="1:9" ht="19.5">
      <c r="A21" s="52"/>
      <c r="B21" s="51"/>
      <c r="C21" s="48"/>
      <c r="D21" s="51"/>
      <c r="E21" s="66"/>
      <c r="F21" s="704"/>
    </row>
    <row r="22" spans="1:9" ht="58.5">
      <c r="A22" s="52">
        <f>+A14+1</f>
        <v>3</v>
      </c>
      <c r="B22" s="51"/>
      <c r="C22" s="881" t="str">
        <f>"Real Estate and Personal Property Taxes Total
 (Ln "&amp;A23&amp;" + Ln "&amp;A30 &amp;" + Ln "&amp;A37&amp;" + Ln "&amp;A40&amp;")"</f>
        <v>Real Estate and Personal Property Taxes Total
 (Ln 4 + Ln 5 + Ln 6 + Ln 7)</v>
      </c>
      <c r="D22" s="51"/>
      <c r="E22" s="742">
        <f>E23+E30+E37+E40</f>
        <v>1139000</v>
      </c>
      <c r="F22" s="66"/>
      <c r="G22" s="48"/>
      <c r="I22" s="742">
        <f>I23+I30+I37+I40</f>
        <v>1139000</v>
      </c>
    </row>
    <row r="23" spans="1:9" ht="19.5">
      <c r="A23" s="52">
        <f>+A22+1</f>
        <v>4</v>
      </c>
      <c r="B23" s="51"/>
      <c r="C23" s="51" t="s">
        <v>807</v>
      </c>
      <c r="D23" s="51"/>
      <c r="E23" s="66">
        <f>SUM(F24:F29)</f>
        <v>1139000</v>
      </c>
      <c r="F23" s="100"/>
      <c r="G23" s="48"/>
      <c r="I23" s="66">
        <f>SUM(I24:I29)</f>
        <v>1139000</v>
      </c>
    </row>
    <row r="24" spans="1:9" ht="19.5">
      <c r="A24" s="52"/>
      <c r="B24" s="51"/>
      <c r="C24" s="51"/>
      <c r="D24" s="51"/>
      <c r="E24" s="66"/>
      <c r="F24" s="444">
        <v>1139000</v>
      </c>
      <c r="G24" s="706"/>
      <c r="H24" s="705">
        <v>1</v>
      </c>
      <c r="I24" s="704">
        <f t="shared" ref="I24:I29" si="0">F24*H24</f>
        <v>1139000</v>
      </c>
    </row>
    <row r="25" spans="1:9" ht="19.5">
      <c r="A25" s="52"/>
      <c r="B25" s="51"/>
      <c r="C25" s="51"/>
      <c r="D25" s="51"/>
      <c r="E25" s="66"/>
      <c r="F25" s="444"/>
      <c r="G25" s="706"/>
      <c r="H25" s="444"/>
      <c r="I25" s="704">
        <f t="shared" si="0"/>
        <v>0</v>
      </c>
    </row>
    <row r="26" spans="1:9" ht="19.5">
      <c r="A26" s="52"/>
      <c r="B26" s="51"/>
      <c r="C26" s="51"/>
      <c r="D26" s="51"/>
      <c r="E26" s="66"/>
      <c r="F26" s="444"/>
      <c r="G26" s="706"/>
      <c r="H26" s="444"/>
      <c r="I26" s="704">
        <f t="shared" si="0"/>
        <v>0</v>
      </c>
    </row>
    <row r="27" spans="1:9" ht="19.5">
      <c r="A27" s="52"/>
      <c r="B27" s="51"/>
      <c r="C27" s="51"/>
      <c r="D27" s="51"/>
      <c r="E27" s="66"/>
      <c r="F27" s="444"/>
      <c r="G27" s="706"/>
      <c r="H27" s="444"/>
      <c r="I27" s="704">
        <f t="shared" si="0"/>
        <v>0</v>
      </c>
    </row>
    <row r="28" spans="1:9" ht="19.5">
      <c r="A28" s="52"/>
      <c r="B28" s="51"/>
      <c r="C28" s="51"/>
      <c r="D28" s="51"/>
      <c r="E28" s="66"/>
      <c r="F28" s="444"/>
      <c r="G28" s="706"/>
      <c r="H28" s="444"/>
      <c r="I28" s="704">
        <f t="shared" si="0"/>
        <v>0</v>
      </c>
    </row>
    <row r="29" spans="1:9" ht="19.5">
      <c r="A29" s="52"/>
      <c r="B29" s="51"/>
      <c r="C29" s="51"/>
      <c r="D29" s="51"/>
      <c r="E29" s="66"/>
      <c r="F29" s="444"/>
      <c r="G29" s="706"/>
      <c r="H29" s="444"/>
      <c r="I29" s="704">
        <f t="shared" si="0"/>
        <v>0</v>
      </c>
    </row>
    <row r="30" spans="1:9" ht="19.5">
      <c r="A30" s="52">
        <f>+A23+1</f>
        <v>5</v>
      </c>
      <c r="B30" s="51"/>
      <c r="C30" s="51" t="s">
        <v>616</v>
      </c>
      <c r="D30" s="51"/>
      <c r="E30" s="66">
        <f>SUM(F31:F36)</f>
        <v>0</v>
      </c>
      <c r="F30" s="66"/>
      <c r="G30" s="48"/>
      <c r="I30" s="438">
        <f>SUM(I31:I36)</f>
        <v>0</v>
      </c>
    </row>
    <row r="31" spans="1:9" ht="19.5">
      <c r="A31" s="52"/>
      <c r="B31" s="51"/>
      <c r="C31" s="51"/>
      <c r="D31" s="51"/>
      <c r="E31" s="66"/>
      <c r="F31" s="444">
        <v>0</v>
      </c>
      <c r="G31" s="706"/>
      <c r="H31" s="705"/>
      <c r="I31" s="704">
        <f t="shared" ref="I31:I36" si="1">F31*H31</f>
        <v>0</v>
      </c>
    </row>
    <row r="32" spans="1:9" ht="19.5">
      <c r="A32" s="52"/>
      <c r="B32" s="51"/>
      <c r="C32" s="51"/>
      <c r="D32" s="51"/>
      <c r="E32" s="66"/>
      <c r="F32" s="444"/>
      <c r="G32" s="706"/>
      <c r="H32" s="444"/>
      <c r="I32" s="704">
        <f t="shared" si="1"/>
        <v>0</v>
      </c>
    </row>
    <row r="33" spans="1:9" ht="19.5">
      <c r="A33" s="52"/>
      <c r="B33" s="51"/>
      <c r="C33" s="51"/>
      <c r="D33" s="51"/>
      <c r="E33" s="66"/>
      <c r="F33" s="444"/>
      <c r="G33" s="706"/>
      <c r="H33" s="444"/>
      <c r="I33" s="704">
        <f t="shared" si="1"/>
        <v>0</v>
      </c>
    </row>
    <row r="34" spans="1:9" ht="19.5">
      <c r="A34" s="52"/>
      <c r="B34" s="51"/>
      <c r="C34" s="51"/>
      <c r="D34" s="51"/>
      <c r="E34" s="66"/>
      <c r="F34" s="444"/>
      <c r="G34" s="706"/>
      <c r="H34" s="444"/>
      <c r="I34" s="704">
        <f t="shared" si="1"/>
        <v>0</v>
      </c>
    </row>
    <row r="35" spans="1:9" ht="19.5">
      <c r="A35" s="52"/>
      <c r="B35" s="51"/>
      <c r="C35" s="51"/>
      <c r="D35" s="51"/>
      <c r="E35" s="66"/>
      <c r="F35" s="444"/>
      <c r="G35" s="706"/>
      <c r="H35" s="444"/>
      <c r="I35" s="704">
        <f t="shared" si="1"/>
        <v>0</v>
      </c>
    </row>
    <row r="36" spans="1:9" ht="19.5">
      <c r="A36" s="52"/>
      <c r="B36" s="51"/>
      <c r="C36" s="51"/>
      <c r="D36" s="51"/>
      <c r="E36" s="66"/>
      <c r="F36" s="444"/>
      <c r="G36" s="706"/>
      <c r="H36" s="444"/>
      <c r="I36" s="704">
        <f t="shared" si="1"/>
        <v>0</v>
      </c>
    </row>
    <row r="37" spans="1:9" ht="19.5">
      <c r="A37" s="52">
        <f>+A30+1</f>
        <v>6</v>
      </c>
      <c r="B37" s="51"/>
      <c r="C37" s="51" t="s">
        <v>617</v>
      </c>
      <c r="D37" s="51"/>
      <c r="E37" s="66">
        <f>+F38+F39</f>
        <v>0</v>
      </c>
      <c r="F37" s="48"/>
      <c r="I37" s="438">
        <f>SUM(I38:I39)</f>
        <v>0</v>
      </c>
    </row>
    <row r="38" spans="1:9" ht="19.5">
      <c r="A38" s="52"/>
      <c r="B38" s="51"/>
      <c r="C38" s="51"/>
      <c r="D38" s="51"/>
      <c r="E38" s="66"/>
      <c r="F38" s="444">
        <v>0</v>
      </c>
      <c r="G38" s="706"/>
      <c r="H38" s="705"/>
      <c r="I38" s="704">
        <f>F38*H38</f>
        <v>0</v>
      </c>
    </row>
    <row r="39" spans="1:9" ht="19.5">
      <c r="A39" s="52"/>
      <c r="B39" s="51"/>
      <c r="C39" s="51"/>
      <c r="D39" s="51"/>
      <c r="E39" s="66"/>
      <c r="F39" s="444"/>
      <c r="G39" s="706"/>
      <c r="H39" s="444"/>
      <c r="I39" s="704">
        <f>F39*H39</f>
        <v>0</v>
      </c>
    </row>
    <row r="40" spans="1:9" ht="19.5">
      <c r="A40" s="52">
        <f>+A37+1</f>
        <v>7</v>
      </c>
      <c r="B40" s="51"/>
      <c r="C40" s="51" t="s">
        <v>251</v>
      </c>
      <c r="D40" s="89"/>
      <c r="E40" s="66">
        <f>+F41</f>
        <v>0</v>
      </c>
      <c r="F40" s="51"/>
      <c r="I40" s="438">
        <f>SUM(I41)</f>
        <v>0</v>
      </c>
    </row>
    <row r="41" spans="1:9" ht="19.5">
      <c r="A41" s="52"/>
      <c r="B41" s="51"/>
      <c r="C41" s="51"/>
      <c r="D41" s="89"/>
      <c r="E41" s="66"/>
      <c r="F41" s="444">
        <v>0</v>
      </c>
      <c r="G41" s="706"/>
      <c r="H41" s="444"/>
      <c r="I41" s="704">
        <f>F41*H41</f>
        <v>0</v>
      </c>
    </row>
    <row r="42" spans="1:9" ht="19.5">
      <c r="A42" s="741"/>
      <c r="B42" s="702"/>
      <c r="C42" s="702"/>
      <c r="D42" s="703"/>
      <c r="E42" s="742"/>
      <c r="F42" s="702"/>
      <c r="G42" s="701"/>
      <c r="H42" s="701"/>
      <c r="I42" s="701"/>
    </row>
    <row r="43" spans="1:9" ht="23.25" customHeight="1">
      <c r="A43" s="52"/>
      <c r="B43" s="51"/>
      <c r="C43" s="51"/>
      <c r="D43" s="89"/>
      <c r="E43" s="66"/>
      <c r="F43" s="51"/>
    </row>
    <row r="44" spans="1:9" ht="18">
      <c r="A44" s="52"/>
      <c r="B44" s="51"/>
      <c r="C44" s="15" t="s">
        <v>460</v>
      </c>
      <c r="E44" s="15" t="s">
        <v>461</v>
      </c>
      <c r="F44" s="15" t="s">
        <v>462</v>
      </c>
      <c r="G44" s="15" t="s">
        <v>463</v>
      </c>
    </row>
    <row r="45" spans="1:9" ht="18">
      <c r="A45" s="80"/>
      <c r="B45" s="81"/>
      <c r="C45" s="81"/>
      <c r="D45" s="81"/>
      <c r="E45"/>
      <c r="F45"/>
      <c r="G45" s="17"/>
    </row>
    <row r="46" spans="1:9" ht="18">
      <c r="A46" s="80" t="s">
        <v>467</v>
      </c>
      <c r="B46" s="81"/>
      <c r="C46" s="81"/>
      <c r="D46" s="81"/>
      <c r="E46" s="82" t="s">
        <v>418</v>
      </c>
      <c r="F46" s="80" t="s">
        <v>2</v>
      </c>
    </row>
    <row r="47" spans="1:9" ht="18">
      <c r="A47" s="83" t="s">
        <v>417</v>
      </c>
      <c r="B47" s="99"/>
      <c r="C47" s="83" t="s">
        <v>268</v>
      </c>
      <c r="D47" s="99"/>
      <c r="E47" s="84" t="s">
        <v>481</v>
      </c>
      <c r="F47" s="83" t="s">
        <v>3</v>
      </c>
      <c r="G47" s="84" t="s">
        <v>4</v>
      </c>
    </row>
    <row r="48" spans="1:9" ht="19.5">
      <c r="A48" s="52"/>
      <c r="B48" s="51"/>
      <c r="C48" s="54"/>
      <c r="D48" s="51"/>
      <c r="E48" s="48"/>
    </row>
    <row r="49" spans="1:7" ht="19.5">
      <c r="A49" s="52">
        <f>+A40+1</f>
        <v>8</v>
      </c>
      <c r="B49" s="51"/>
      <c r="C49" s="53" t="s">
        <v>128</v>
      </c>
      <c r="D49" s="51"/>
      <c r="E49" s="48"/>
      <c r="F49" s="102"/>
      <c r="G49" s="48"/>
    </row>
    <row r="50" spans="1:7" ht="19.5">
      <c r="A50" s="52">
        <f>+A49+1</f>
        <v>9</v>
      </c>
      <c r="B50" s="51"/>
      <c r="C50" s="51" t="s">
        <v>124</v>
      </c>
      <c r="D50" s="51"/>
      <c r="E50" s="66">
        <f>+F51</f>
        <v>0</v>
      </c>
      <c r="F50" s="48"/>
      <c r="G50" s="48"/>
    </row>
    <row r="51" spans="1:7" ht="19.5">
      <c r="A51" s="52"/>
      <c r="B51" s="51"/>
      <c r="C51" s="51"/>
      <c r="D51" s="51"/>
      <c r="E51" s="66"/>
      <c r="F51" s="444">
        <v>0</v>
      </c>
      <c r="G51" s="101"/>
    </row>
    <row r="52" spans="1:7" ht="19.5">
      <c r="A52" s="52">
        <f>+A50+1</f>
        <v>10</v>
      </c>
      <c r="B52" s="51"/>
      <c r="C52" s="51" t="s">
        <v>117</v>
      </c>
      <c r="D52" s="51"/>
      <c r="E52" s="66">
        <f>+F53</f>
        <v>0</v>
      </c>
      <c r="F52" s="48"/>
      <c r="G52" s="48"/>
    </row>
    <row r="53" spans="1:7" ht="19.5">
      <c r="A53" s="52"/>
      <c r="B53" s="51"/>
      <c r="C53" s="51"/>
      <c r="D53" s="51"/>
      <c r="E53" s="66"/>
      <c r="F53" s="444">
        <v>0</v>
      </c>
      <c r="G53" s="101"/>
    </row>
    <row r="54" spans="1:7" ht="19.5">
      <c r="A54" s="52">
        <f>+A52+1</f>
        <v>11</v>
      </c>
      <c r="B54" s="51"/>
      <c r="C54" s="51" t="s">
        <v>118</v>
      </c>
      <c r="D54" s="51"/>
      <c r="E54" s="66">
        <f>+F55+F56+F57</f>
        <v>0</v>
      </c>
      <c r="F54" s="48"/>
      <c r="G54" s="48"/>
    </row>
    <row r="55" spans="1:7" ht="19.5">
      <c r="A55" s="52" t="s">
        <v>414</v>
      </c>
      <c r="B55" s="51"/>
      <c r="C55" s="48"/>
      <c r="D55" s="51"/>
      <c r="E55" s="48"/>
      <c r="F55" s="444">
        <v>0</v>
      </c>
      <c r="G55" s="101"/>
    </row>
    <row r="56" spans="1:7" ht="19.5">
      <c r="A56" s="52"/>
      <c r="B56" s="51"/>
      <c r="C56" s="48"/>
      <c r="D56" s="51"/>
      <c r="E56" s="48"/>
      <c r="F56" s="444"/>
      <c r="G56" s="101"/>
    </row>
    <row r="57" spans="1:7" ht="19.5">
      <c r="A57" s="52"/>
      <c r="B57" s="51"/>
      <c r="C57" s="48"/>
      <c r="D57" s="51"/>
      <c r="E57" s="48"/>
      <c r="F57" s="444"/>
      <c r="G57" s="101"/>
    </row>
    <row r="58" spans="1:7" ht="19.5">
      <c r="A58" s="52">
        <f>A54+1</f>
        <v>12</v>
      </c>
      <c r="B58" s="51"/>
      <c r="C58" s="108" t="s">
        <v>323</v>
      </c>
      <c r="D58" s="51"/>
      <c r="E58" s="107"/>
      <c r="F58" s="48"/>
      <c r="G58" s="48"/>
    </row>
    <row r="59" spans="1:7" ht="19.5">
      <c r="A59" s="52">
        <f>A58+1</f>
        <v>13</v>
      </c>
      <c r="B59" s="51"/>
      <c r="C59" s="48" t="s">
        <v>222</v>
      </c>
      <c r="D59" s="89"/>
      <c r="E59" s="66">
        <f>+F60</f>
        <v>0</v>
      </c>
      <c r="G59" s="48"/>
    </row>
    <row r="60" spans="1:7" ht="19.5">
      <c r="A60" s="52"/>
      <c r="B60" s="51"/>
      <c r="C60" s="48"/>
      <c r="D60" s="51"/>
      <c r="E60" s="48"/>
      <c r="F60" s="444">
        <v>0</v>
      </c>
      <c r="G60" s="48"/>
    </row>
    <row r="61" spans="1:7" ht="19.5">
      <c r="A61" s="56">
        <f>A59+1</f>
        <v>14</v>
      </c>
      <c r="B61" s="57"/>
      <c r="C61" s="53" t="s">
        <v>125</v>
      </c>
      <c r="D61" s="58"/>
      <c r="E61" s="48"/>
      <c r="F61" s="100"/>
      <c r="G61" s="48"/>
    </row>
    <row r="62" spans="1:7" ht="19.5">
      <c r="A62" s="56">
        <f>A61+1</f>
        <v>15</v>
      </c>
      <c r="B62" s="57"/>
      <c r="C62" s="48" t="s">
        <v>221</v>
      </c>
      <c r="D62" s="58"/>
      <c r="E62" s="66">
        <f>+F63+F64</f>
        <v>0</v>
      </c>
      <c r="F62" s="48"/>
      <c r="G62" s="48"/>
    </row>
    <row r="63" spans="1:7" ht="19.5">
      <c r="A63" s="56"/>
      <c r="B63" s="57"/>
      <c r="C63" s="48"/>
      <c r="D63" s="58"/>
      <c r="E63" s="66"/>
      <c r="F63" s="444">
        <v>0</v>
      </c>
      <c r="G63" s="101"/>
    </row>
    <row r="64" spans="1:7" ht="19.5">
      <c r="A64" s="56"/>
      <c r="B64" s="57"/>
      <c r="C64" s="48"/>
      <c r="D64" s="58"/>
      <c r="E64" s="66"/>
      <c r="F64" s="444"/>
      <c r="G64" s="101"/>
    </row>
    <row r="65" spans="1:7" ht="19.5">
      <c r="A65" s="52">
        <f>A62+1</f>
        <v>16</v>
      </c>
      <c r="B65" s="51"/>
      <c r="C65" s="48" t="s">
        <v>119</v>
      </c>
      <c r="D65" s="51"/>
      <c r="E65" s="66">
        <f>+F66+F67+F68</f>
        <v>0</v>
      </c>
      <c r="F65" s="48"/>
      <c r="G65" s="48"/>
    </row>
    <row r="66" spans="1:7" ht="19.5">
      <c r="A66" s="52"/>
      <c r="B66" s="51"/>
      <c r="C66" s="48"/>
      <c r="D66" s="51"/>
      <c r="E66" s="66"/>
      <c r="F66" s="444">
        <v>0</v>
      </c>
      <c r="G66" s="101"/>
    </row>
    <row r="67" spans="1:7" ht="19.5">
      <c r="A67" s="52"/>
      <c r="B67" s="51"/>
      <c r="C67" s="48"/>
      <c r="D67" s="51"/>
      <c r="E67" s="66"/>
      <c r="F67" s="444"/>
      <c r="G67" s="101"/>
    </row>
    <row r="68" spans="1:7" ht="19.5">
      <c r="A68" s="52"/>
      <c r="B68" s="51"/>
      <c r="C68" s="48"/>
      <c r="D68" s="51"/>
      <c r="E68" s="66"/>
      <c r="F68" s="444"/>
      <c r="G68" s="101"/>
    </row>
    <row r="69" spans="1:7" ht="19.5">
      <c r="A69" s="52">
        <f>+A65+1</f>
        <v>17</v>
      </c>
      <c r="B69" s="51"/>
      <c r="C69" s="48" t="s">
        <v>120</v>
      </c>
      <c r="D69"/>
      <c r="E69" s="66">
        <f>SUM(F70:F80)</f>
        <v>0</v>
      </c>
      <c r="F69" s="48"/>
      <c r="G69" s="48"/>
    </row>
    <row r="70" spans="1:7" ht="19.5">
      <c r="A70" s="52"/>
      <c r="B70" s="51"/>
      <c r="C70" s="48"/>
      <c r="D70"/>
      <c r="E70" s="66"/>
      <c r="F70" s="444">
        <v>0</v>
      </c>
      <c r="G70" s="101"/>
    </row>
    <row r="71" spans="1:7" ht="19.5">
      <c r="A71" s="52"/>
      <c r="B71" s="51"/>
      <c r="C71" s="48"/>
      <c r="D71"/>
      <c r="E71" s="66"/>
      <c r="F71" s="444"/>
      <c r="G71" s="101"/>
    </row>
    <row r="72" spans="1:7" ht="19.5">
      <c r="A72" s="52"/>
      <c r="B72" s="51"/>
      <c r="C72" s="48"/>
      <c r="D72"/>
      <c r="E72" s="66"/>
      <c r="F72" s="444"/>
      <c r="G72" s="101"/>
    </row>
    <row r="73" spans="1:7" ht="19.5">
      <c r="A73" s="52"/>
      <c r="B73" s="51"/>
      <c r="C73" s="48"/>
      <c r="D73"/>
      <c r="E73" s="66"/>
      <c r="F73" s="444"/>
      <c r="G73" s="101"/>
    </row>
    <row r="74" spans="1:7" ht="19.5">
      <c r="A74" s="52"/>
      <c r="B74" s="51"/>
      <c r="C74" s="48"/>
      <c r="D74"/>
      <c r="E74" s="66"/>
      <c r="F74" s="444"/>
      <c r="G74" s="101"/>
    </row>
    <row r="75" spans="1:7" ht="19.5">
      <c r="A75" s="52"/>
      <c r="B75" s="51"/>
      <c r="C75" s="48"/>
      <c r="D75"/>
      <c r="E75" s="66"/>
      <c r="F75" s="444"/>
      <c r="G75" s="101"/>
    </row>
    <row r="76" spans="1:7" ht="19.5">
      <c r="A76" s="52"/>
      <c r="B76" s="51"/>
      <c r="C76" s="48"/>
      <c r="D76"/>
      <c r="E76" s="66"/>
      <c r="F76" s="444"/>
      <c r="G76" s="101"/>
    </row>
    <row r="77" spans="1:7" ht="19.5">
      <c r="A77" s="52"/>
      <c r="B77" s="51"/>
      <c r="C77" s="48"/>
      <c r="D77"/>
      <c r="E77" s="66"/>
      <c r="F77" s="444"/>
      <c r="G77" s="101"/>
    </row>
    <row r="78" spans="1:7" ht="19.5">
      <c r="A78" s="52"/>
      <c r="B78" s="51"/>
      <c r="C78" s="48"/>
      <c r="D78"/>
      <c r="E78" s="66"/>
      <c r="F78" s="444"/>
      <c r="G78" s="101"/>
    </row>
    <row r="79" spans="1:7" ht="19.5">
      <c r="A79" s="52"/>
      <c r="B79" s="51"/>
      <c r="C79" s="48"/>
      <c r="D79"/>
      <c r="E79" s="66"/>
      <c r="F79" s="444"/>
      <c r="G79" s="101"/>
    </row>
    <row r="80" spans="1:7" ht="19.5">
      <c r="A80" s="52"/>
      <c r="B80" s="51"/>
      <c r="C80" s="48"/>
      <c r="D80"/>
      <c r="E80" s="66"/>
      <c r="F80" s="444"/>
      <c r="G80" s="101"/>
    </row>
    <row r="81" spans="1:7" ht="19.5">
      <c r="A81" s="52">
        <f>+A69+1</f>
        <v>18</v>
      </c>
      <c r="B81" s="51"/>
      <c r="C81" s="48" t="s">
        <v>121</v>
      </c>
      <c r="D81"/>
      <c r="E81" s="66">
        <f>SUM(F82:F85)</f>
        <v>0</v>
      </c>
      <c r="F81" s="48"/>
      <c r="G81" s="48"/>
    </row>
    <row r="82" spans="1:7" ht="19.5">
      <c r="A82" s="52"/>
      <c r="B82" s="51"/>
      <c r="C82" s="48"/>
      <c r="D82"/>
      <c r="E82" s="66"/>
      <c r="F82" s="444">
        <v>0</v>
      </c>
      <c r="G82" s="101"/>
    </row>
    <row r="83" spans="1:7" ht="19.5">
      <c r="A83" s="52"/>
      <c r="B83" s="51"/>
      <c r="C83" s="48"/>
      <c r="D83"/>
      <c r="E83" s="66"/>
      <c r="F83" s="444"/>
      <c r="G83" s="101"/>
    </row>
    <row r="84" spans="1:7" ht="19.5">
      <c r="A84" s="52"/>
      <c r="B84" s="51"/>
      <c r="C84" s="48"/>
      <c r="D84"/>
      <c r="E84" s="66"/>
      <c r="F84" s="444"/>
      <c r="G84" s="101"/>
    </row>
    <row r="85" spans="1:7" ht="19.5">
      <c r="A85" s="52"/>
      <c r="B85" s="51"/>
      <c r="C85" s="48"/>
      <c r="D85"/>
      <c r="E85" s="66"/>
      <c r="F85" s="444"/>
      <c r="G85" s="101"/>
    </row>
    <row r="86" spans="1:7" ht="19.5">
      <c r="A86" s="52">
        <f>+A81+1</f>
        <v>19</v>
      </c>
      <c r="B86" s="51"/>
      <c r="C86" s="48" t="s">
        <v>122</v>
      </c>
      <c r="D86" s="51"/>
      <c r="E86" s="66">
        <f>F87</f>
        <v>0</v>
      </c>
      <c r="F86" s="48"/>
      <c r="G86" s="48"/>
    </row>
    <row r="87" spans="1:7" ht="19.5">
      <c r="A87" s="52"/>
      <c r="B87" s="51"/>
      <c r="C87" s="48"/>
      <c r="D87" s="51"/>
      <c r="E87" s="66"/>
      <c r="F87" s="444">
        <v>0</v>
      </c>
      <c r="G87" s="101"/>
    </row>
    <row r="88" spans="1:7" ht="19.5">
      <c r="A88" s="52"/>
      <c r="B88" s="51"/>
      <c r="C88" s="48"/>
      <c r="D88" s="51"/>
      <c r="E88" s="66"/>
      <c r="F88" s="123"/>
      <c r="G88" s="48"/>
    </row>
    <row r="89" spans="1:7" ht="19.5">
      <c r="A89" s="52">
        <f>+A86+1</f>
        <v>20</v>
      </c>
      <c r="B89" s="51"/>
      <c r="C89" s="48" t="s">
        <v>123</v>
      </c>
      <c r="D89" s="51"/>
      <c r="E89" s="66">
        <f>SUM(F90:F94)</f>
        <v>0</v>
      </c>
      <c r="F89" s="48"/>
      <c r="G89" s="101"/>
    </row>
    <row r="90" spans="1:7" ht="19.5">
      <c r="A90" s="52"/>
      <c r="B90" s="51"/>
      <c r="C90" s="48"/>
      <c r="D90" s="51"/>
      <c r="E90" s="66"/>
      <c r="F90" s="444">
        <v>0</v>
      </c>
      <c r="G90" s="101"/>
    </row>
    <row r="91" spans="1:7" ht="19.5">
      <c r="A91" s="52"/>
      <c r="B91" s="51"/>
      <c r="C91" s="48"/>
      <c r="D91" s="51"/>
      <c r="E91" s="66"/>
      <c r="F91" s="444"/>
      <c r="G91" s="101"/>
    </row>
    <row r="92" spans="1:7" ht="19.5">
      <c r="A92" s="52"/>
      <c r="B92" s="51"/>
      <c r="C92" s="48"/>
      <c r="D92" s="51"/>
      <c r="E92" s="66"/>
      <c r="F92" s="444"/>
      <c r="G92" s="101"/>
    </row>
    <row r="93" spans="1:7" ht="19.5">
      <c r="A93" s="52"/>
      <c r="B93" s="51"/>
      <c r="C93" s="48"/>
      <c r="D93" s="51"/>
      <c r="E93" s="66"/>
      <c r="F93" s="444"/>
      <c r="G93" s="101"/>
    </row>
    <row r="94" spans="1:7" ht="19.5">
      <c r="A94" s="52"/>
      <c r="B94" s="51"/>
      <c r="C94" s="48"/>
      <c r="D94" s="51"/>
      <c r="E94" s="66"/>
      <c r="F94" s="444"/>
      <c r="G94" s="101"/>
    </row>
    <row r="95" spans="1:7" ht="19.5">
      <c r="A95" s="52">
        <f>+A89+1</f>
        <v>21</v>
      </c>
      <c r="B95" s="48"/>
      <c r="C95" s="48" t="s">
        <v>112</v>
      </c>
      <c r="D95" s="48"/>
      <c r="E95" s="66">
        <f>SUM(F96:F97)</f>
        <v>0</v>
      </c>
      <c r="F95" s="100"/>
      <c r="G95" s="101"/>
    </row>
    <row r="96" spans="1:7" ht="19.5">
      <c r="A96" s="52"/>
      <c r="B96" s="48"/>
      <c r="C96" s="48"/>
      <c r="D96" s="48"/>
      <c r="E96" s="50"/>
      <c r="F96" s="444">
        <v>0</v>
      </c>
      <c r="G96" s="101"/>
    </row>
    <row r="97" spans="1:7" ht="19.5">
      <c r="A97" s="52"/>
      <c r="B97" s="48"/>
      <c r="C97" s="48"/>
      <c r="D97" s="48"/>
      <c r="E97" s="50"/>
      <c r="F97" s="444"/>
      <c r="G97" s="101"/>
    </row>
    <row r="98" spans="1:7" ht="19.5">
      <c r="A98" s="52">
        <f>+A95+1</f>
        <v>22</v>
      </c>
      <c r="B98" s="48"/>
      <c r="C98" s="61" t="s">
        <v>406</v>
      </c>
      <c r="D98" s="48"/>
      <c r="E98" s="66">
        <f>+F99</f>
        <v>0</v>
      </c>
      <c r="G98" s="48"/>
    </row>
    <row r="99" spans="1:7" ht="19.5">
      <c r="A99" s="52"/>
      <c r="B99" s="48"/>
      <c r="C99" s="61"/>
      <c r="D99" s="48"/>
      <c r="E99" s="48"/>
      <c r="F99" s="444">
        <v>0</v>
      </c>
      <c r="G99" s="48"/>
    </row>
    <row r="100" spans="1:7" ht="19.5">
      <c r="A100" s="3"/>
      <c r="B100" s="98"/>
      <c r="C100" s="98"/>
      <c r="D100"/>
      <c r="E100"/>
      <c r="F100" s="100"/>
      <c r="G100" s="48"/>
    </row>
    <row r="101" spans="1:7" ht="20.25" thickBot="1">
      <c r="A101" s="95">
        <f>+A98+1</f>
        <v>23</v>
      </c>
      <c r="B101" s="98"/>
      <c r="C101" s="48" t="s">
        <v>116</v>
      </c>
      <c r="D101"/>
      <c r="E101" s="60">
        <f>E22+E98+E95+E89+E86+E81+E69+E65+E62+E59+E54+E52+E50+E14</f>
        <v>1139000</v>
      </c>
      <c r="F101" s="60">
        <f>SUM(F14:F99)</f>
        <v>1139000</v>
      </c>
      <c r="G101" s="48"/>
    </row>
    <row r="102" spans="1:7" ht="20.25" thickTop="1">
      <c r="A102" s="3"/>
      <c r="B102" s="98"/>
      <c r="C102" s="48" t="s">
        <v>181</v>
      </c>
      <c r="D102"/>
      <c r="E102"/>
      <c r="F102" s="48"/>
      <c r="G102" s="48"/>
    </row>
    <row r="103" spans="1:7" ht="19.5">
      <c r="A103" s="3"/>
      <c r="B103" s="98"/>
      <c r="C103" s="48"/>
      <c r="D103"/>
      <c r="E103"/>
      <c r="F103" s="66" t="s">
        <v>414</v>
      </c>
      <c r="G103" s="48"/>
    </row>
    <row r="104" spans="1:7" ht="21.75" customHeight="1">
      <c r="A104" s="1182" t="s">
        <v>769</v>
      </c>
      <c r="B104" s="1182"/>
      <c r="C104" s="1182"/>
      <c r="D104" s="1182"/>
      <c r="E104" s="1182"/>
      <c r="F104" s="1182"/>
      <c r="G104" s="1182"/>
    </row>
    <row r="105" spans="1:7" ht="21.75" customHeight="1">
      <c r="A105" s="1182"/>
      <c r="B105" s="1182"/>
      <c r="C105" s="1182"/>
      <c r="D105" s="1182"/>
      <c r="E105" s="1182"/>
      <c r="F105" s="1182"/>
      <c r="G105" s="1182"/>
    </row>
    <row r="106" spans="1:7" ht="21.75" customHeight="1">
      <c r="A106" s="1182"/>
      <c r="B106" s="1182"/>
      <c r="C106" s="1182"/>
      <c r="D106" s="1182"/>
      <c r="E106" s="1182"/>
      <c r="F106" s="1182"/>
      <c r="G106" s="1182"/>
    </row>
    <row r="107" spans="1:7" ht="21.75" customHeight="1">
      <c r="A107" s="1182"/>
      <c r="B107" s="1182"/>
      <c r="C107" s="1182"/>
      <c r="D107" s="1182"/>
      <c r="E107" s="1182"/>
      <c r="F107" s="1182"/>
      <c r="G107" s="1182"/>
    </row>
    <row r="108" spans="1:7" ht="21.75" customHeight="1">
      <c r="A108" s="1182"/>
      <c r="B108" s="1182"/>
      <c r="C108" s="1182"/>
      <c r="D108" s="1182"/>
      <c r="E108" s="1182"/>
      <c r="F108" s="1182"/>
      <c r="G108" s="1182"/>
    </row>
    <row r="109" spans="1:7" ht="19.5">
      <c r="F109" s="48"/>
      <c r="G109" s="48"/>
    </row>
    <row r="110" spans="1:7" ht="30" customHeight="1">
      <c r="A110" s="1180" t="s">
        <v>702</v>
      </c>
      <c r="B110" s="1180"/>
      <c r="C110" s="1180"/>
      <c r="D110" s="1180"/>
      <c r="E110" s="1180"/>
      <c r="F110" s="1180"/>
      <c r="G110" s="1180"/>
    </row>
    <row r="111" spans="1:7" ht="30" customHeight="1">
      <c r="A111" s="1180"/>
      <c r="B111" s="1180"/>
      <c r="C111" s="1180"/>
      <c r="D111" s="1180"/>
      <c r="E111" s="1180"/>
      <c r="F111" s="1180"/>
      <c r="G111" s="1180"/>
    </row>
    <row r="112" spans="1:7" ht="19.5">
      <c r="F112" s="100"/>
      <c r="G112" s="48"/>
    </row>
    <row r="113" spans="6:7" ht="19.5">
      <c r="F113" s="100"/>
      <c r="G113" s="48"/>
    </row>
    <row r="114" spans="6:7" ht="19.5">
      <c r="F114" s="48"/>
    </row>
    <row r="115" spans="6:7" ht="19.5">
      <c r="F115" s="48"/>
    </row>
    <row r="116" spans="6:7" ht="19.5">
      <c r="F116" s="48"/>
    </row>
    <row r="117" spans="6:7" ht="19.5">
      <c r="F117" s="48"/>
    </row>
  </sheetData>
  <mergeCells count="7">
    <mergeCell ref="A110:G111"/>
    <mergeCell ref="H4:M4"/>
    <mergeCell ref="A104:G108"/>
    <mergeCell ref="A3:G3"/>
    <mergeCell ref="A4:G4"/>
    <mergeCell ref="A5:G5"/>
    <mergeCell ref="A6:G6"/>
  </mergeCells>
  <phoneticPr fontId="70" type="noConversion"/>
  <pageMargins left="0.82" right="1.28" top="0.67" bottom="0.56000000000000005" header="0.75" footer="0.28000000000000003"/>
  <pageSetup scale="30" orientation="portrait" r:id="rId1"/>
  <headerFooter alignWithMargins="0">
    <oddHeader>&amp;R&amp;"Arial,Bold"Formula Rate 
&amp;A
Page &amp;P of &amp;N</oddHeader>
  </headerFooter>
  <colBreaks count="1" manualBreakCount="1">
    <brk id="5" max="111"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M28"/>
  <sheetViews>
    <sheetView view="pageBreakPreview" zoomScale="60" zoomScaleNormal="100" workbookViewId="0">
      <selection activeCell="G129" sqref="G129"/>
    </sheetView>
  </sheetViews>
  <sheetFormatPr defaultRowHeight="12.75"/>
  <cols>
    <col min="1" max="1" width="4.7109375" customWidth="1"/>
    <col min="3" max="3" width="13.85546875" customWidth="1"/>
    <col min="4" max="4" width="18.85546875" customWidth="1"/>
    <col min="5" max="5" width="13.140625" customWidth="1"/>
    <col min="6" max="6" width="12.85546875" customWidth="1"/>
    <col min="7" max="7" width="19.42578125" customWidth="1"/>
    <col min="8" max="8" width="17.28515625" customWidth="1"/>
    <col min="9" max="9" width="18.7109375" customWidth="1"/>
    <col min="10" max="10" width="1.42578125" customWidth="1"/>
  </cols>
  <sheetData>
    <row r="1" spans="1:13" ht="15.75">
      <c r="A1" s="696" t="s">
        <v>414</v>
      </c>
    </row>
    <row r="2" spans="1:13" ht="15.75">
      <c r="A2" s="696" t="s">
        <v>414</v>
      </c>
    </row>
    <row r="3" spans="1:13" ht="18">
      <c r="A3" s="1185" t="str">
        <f>TCOS!$F$5</f>
        <v>AEPTCo subsidiaries in PJM</v>
      </c>
      <c r="B3" s="1185" t="str">
        <f>TCOS!$F$5</f>
        <v>AEPTCo subsidiaries in PJM</v>
      </c>
      <c r="C3" s="1185" t="str">
        <f>TCOS!$F$5</f>
        <v>AEPTCo subsidiaries in PJM</v>
      </c>
      <c r="D3" s="1185" t="str">
        <f>TCOS!$F$5</f>
        <v>AEPTCo subsidiaries in PJM</v>
      </c>
      <c r="E3" s="1185" t="str">
        <f>TCOS!$F$5</f>
        <v>AEPTCo subsidiaries in PJM</v>
      </c>
      <c r="F3" s="1185" t="str">
        <f>TCOS!$F$5</f>
        <v>AEPTCo subsidiaries in PJM</v>
      </c>
      <c r="G3" s="1185" t="str">
        <f>TCOS!$F$5</f>
        <v>AEPTCo subsidiaries in PJM</v>
      </c>
      <c r="H3" s="1185" t="str">
        <f>TCOS!$F$5</f>
        <v>AEPTCo subsidiaries in PJM</v>
      </c>
      <c r="I3" s="1185" t="str">
        <f>TCOS!$F$5</f>
        <v>AEPTCo subsidiaries in PJM</v>
      </c>
      <c r="J3" s="1185" t="str">
        <f>TCOS!$F$5</f>
        <v>AEPTCo subsidiaries in PJM</v>
      </c>
      <c r="K3" s="64"/>
      <c r="L3" s="64"/>
      <c r="M3" s="64"/>
    </row>
    <row r="4" spans="1:13" ht="18">
      <c r="A4" s="1184" t="str">
        <f>"Cost of Service Formula Rate Using Actual/Projected FF1 Balances"</f>
        <v>Cost of Service Formula Rate Using Actual/Projected FF1 Balances</v>
      </c>
      <c r="B4" s="1184"/>
      <c r="C4" s="1184"/>
      <c r="D4" s="1184"/>
      <c r="E4" s="1184"/>
      <c r="F4" s="1184"/>
      <c r="G4" s="1184"/>
      <c r="H4" s="1184"/>
      <c r="I4" s="1184"/>
      <c r="J4" s="1184"/>
      <c r="K4" s="44"/>
      <c r="L4" s="44"/>
      <c r="M4" s="44"/>
    </row>
    <row r="5" spans="1:13" ht="18">
      <c r="A5" s="1184" t="s">
        <v>595</v>
      </c>
      <c r="B5" s="1184"/>
      <c r="C5" s="1184"/>
      <c r="D5" s="1184"/>
      <c r="E5" s="1184"/>
      <c r="F5" s="1184"/>
      <c r="G5" s="1184"/>
      <c r="H5" s="1184"/>
      <c r="I5" s="1184"/>
      <c r="J5" s="1184"/>
      <c r="K5" s="65"/>
      <c r="L5" s="65"/>
      <c r="M5" s="65"/>
    </row>
    <row r="6" spans="1:13" ht="18">
      <c r="A6" s="1177" t="str">
        <f>+TCOS!F9</f>
        <v>AEP Kentucky Transmission Company</v>
      </c>
      <c r="B6" s="1177"/>
      <c r="C6" s="1177"/>
      <c r="D6" s="1177"/>
      <c r="E6" s="1177"/>
      <c r="F6" s="1177"/>
      <c r="G6" s="1177"/>
      <c r="H6" s="1177"/>
      <c r="I6" s="1177"/>
      <c r="J6" s="1177"/>
      <c r="K6" s="67"/>
      <c r="L6" s="67"/>
      <c r="M6" s="67"/>
    </row>
    <row r="7" spans="1:13">
      <c r="H7" s="68"/>
    </row>
    <row r="8" spans="1:13" ht="15.75">
      <c r="D8" s="121" t="s">
        <v>562</v>
      </c>
    </row>
    <row r="9" spans="1:13">
      <c r="H9" s="47"/>
    </row>
    <row r="13" spans="1:13">
      <c r="H13" s="69"/>
    </row>
    <row r="14" spans="1:13">
      <c r="H14" s="85"/>
    </row>
    <row r="15" spans="1:13">
      <c r="H15" s="85"/>
    </row>
    <row r="24" spans="2:7">
      <c r="B24" s="71"/>
      <c r="G24" s="72"/>
    </row>
    <row r="25" spans="2:7">
      <c r="G25" s="72"/>
    </row>
    <row r="26" spans="2:7">
      <c r="B26" s="86"/>
      <c r="G26" s="87"/>
    </row>
    <row r="27" spans="2:7">
      <c r="G27" s="72"/>
    </row>
    <row r="28" spans="2:7">
      <c r="G28" s="73"/>
    </row>
  </sheetData>
  <mergeCells count="4">
    <mergeCell ref="A4:J4"/>
    <mergeCell ref="A3:J3"/>
    <mergeCell ref="A6:J6"/>
    <mergeCell ref="A5:J5"/>
  </mergeCells>
  <phoneticPr fontId="0" type="noConversion"/>
  <pageMargins left="0.26" right="1.28" top="1" bottom="1" header="0.75" footer="0.5"/>
  <pageSetup scale="69" orientation="portrait" r:id="rId1"/>
  <headerFooter alignWithMargins="0">
    <oddHeader>&amp;R&amp;"Arial,Bold"Formula Rate 
&amp;A
Page &amp;P of &amp;N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0" tint="-0.14999847407452621"/>
  </sheetPr>
  <dimension ref="A1:Q170"/>
  <sheetViews>
    <sheetView view="pageBreakPreview" zoomScale="85" zoomScaleNormal="70" zoomScaleSheetLayoutView="85" workbookViewId="0">
      <selection activeCell="G75" sqref="G75"/>
    </sheetView>
  </sheetViews>
  <sheetFormatPr defaultColWidth="8.85546875" defaultRowHeight="12.75"/>
  <cols>
    <col min="1" max="1" width="4.7109375" customWidth="1"/>
    <col min="2" max="2" width="6.7109375" customWidth="1"/>
    <col min="3" max="3" width="26.42578125" customWidth="1"/>
    <col min="4" max="4" width="17.7109375" style="1" customWidth="1"/>
    <col min="5" max="7" width="17.7109375" customWidth="1"/>
    <col min="8" max="8" width="17.7109375" style="340" customWidth="1"/>
    <col min="9" max="9" width="17.7109375" bestFit="1" customWidth="1"/>
    <col min="10" max="10" width="2.140625" customWidth="1"/>
    <col min="11" max="12" width="17.7109375" customWidth="1"/>
    <col min="13" max="13" width="32.42578125" customWidth="1"/>
    <col min="14" max="14" width="17.7109375" customWidth="1"/>
    <col min="15" max="15" width="16.7109375" customWidth="1"/>
    <col min="16" max="16" width="2.140625" customWidth="1"/>
  </cols>
  <sheetData>
    <row r="1" spans="1:16" ht="15.75">
      <c r="A1" s="696" t="s">
        <v>414</v>
      </c>
    </row>
    <row r="2" spans="1:16" ht="15.75">
      <c r="A2" s="696" t="s">
        <v>414</v>
      </c>
    </row>
    <row r="3" spans="1:16" ht="15">
      <c r="A3" s="1141" t="str">
        <f>TCOS!$F$5</f>
        <v>AEPTCo subsidiaries in PJM</v>
      </c>
      <c r="B3" s="1141" t="str">
        <f>TCOS!$F$5</f>
        <v>AEPTCo subsidiaries in PJM</v>
      </c>
      <c r="C3" s="1141" t="str">
        <f>TCOS!$F$5</f>
        <v>AEPTCo subsidiaries in PJM</v>
      </c>
      <c r="D3" s="1141" t="str">
        <f>TCOS!$F$5</f>
        <v>AEPTCo subsidiaries in PJM</v>
      </c>
      <c r="E3" s="1141" t="str">
        <f>TCOS!$F$5</f>
        <v>AEPTCo subsidiaries in PJM</v>
      </c>
      <c r="F3" s="1141" t="str">
        <f>TCOS!$F$5</f>
        <v>AEPTCo subsidiaries in PJM</v>
      </c>
      <c r="G3" s="1141" t="str">
        <f>TCOS!$F$5</f>
        <v>AEPTCo subsidiaries in PJM</v>
      </c>
      <c r="H3" s="1141" t="str">
        <f>TCOS!$F$5</f>
        <v>AEPTCo subsidiaries in PJM</v>
      </c>
      <c r="I3" s="1141" t="str">
        <f>TCOS!$F$5</f>
        <v>AEPTCo subsidiaries in PJM</v>
      </c>
      <c r="J3" s="1141" t="str">
        <f>TCOS!$F$5</f>
        <v>AEPTCo subsidiaries in PJM</v>
      </c>
      <c r="K3" s="1141" t="str">
        <f>TCOS!$F$5</f>
        <v>AEPTCo subsidiaries in PJM</v>
      </c>
      <c r="L3" s="1141" t="str">
        <f>TCOS!$F$5</f>
        <v>AEPTCo subsidiaries in PJM</v>
      </c>
      <c r="M3" s="1141" t="str">
        <f>TCOS!$F$5</f>
        <v>AEPTCo subsidiaries in PJM</v>
      </c>
      <c r="N3" s="1141" t="str">
        <f>TCOS!$F$5</f>
        <v>AEPTCo subsidiaries in PJM</v>
      </c>
      <c r="O3" s="1141" t="str">
        <f>TCOS!$F$5</f>
        <v>AEPTCo subsidiaries in PJM</v>
      </c>
    </row>
    <row r="4" spans="1:16" ht="15">
      <c r="A4" s="1142" t="str">
        <f>"Cost of Service Formula Rate Using Actual/Projected FF1 Balances"</f>
        <v>Cost of Service Formula Rate Using Actual/Projected FF1 Balances</v>
      </c>
      <c r="B4" s="1142"/>
      <c r="C4" s="1142"/>
      <c r="D4" s="1142"/>
      <c r="E4" s="1142"/>
      <c r="F4" s="1142"/>
      <c r="G4" s="1142"/>
      <c r="H4" s="1142"/>
      <c r="I4" s="1142"/>
      <c r="J4" s="1142"/>
      <c r="K4" s="1142"/>
      <c r="L4" s="1142"/>
      <c r="M4" s="1142"/>
      <c r="N4" s="1142"/>
      <c r="O4" s="1142"/>
    </row>
    <row r="5" spans="1:16" ht="15">
      <c r="A5" s="1142" t="s">
        <v>264</v>
      </c>
      <c r="B5" s="1142"/>
      <c r="C5" s="1142"/>
      <c r="D5" s="1142"/>
      <c r="E5" s="1142"/>
      <c r="F5" s="1142"/>
      <c r="G5" s="1142"/>
      <c r="H5" s="1142"/>
      <c r="I5" s="1142"/>
      <c r="J5" s="1142"/>
      <c r="K5" s="1142"/>
      <c r="L5" s="1142"/>
      <c r="M5" s="1142"/>
      <c r="N5" s="1142"/>
      <c r="O5" s="1142"/>
    </row>
    <row r="6" spans="1:16" ht="15">
      <c r="A6" s="1152" t="str">
        <f>TCOS!F9</f>
        <v>AEP Kentucky Transmission Company</v>
      </c>
      <c r="B6" s="1152"/>
      <c r="C6" s="1152"/>
      <c r="D6" s="1152"/>
      <c r="E6" s="1152"/>
      <c r="F6" s="1152"/>
      <c r="G6" s="1152"/>
      <c r="H6" s="1152"/>
      <c r="I6" s="1152"/>
      <c r="J6" s="1152"/>
      <c r="K6" s="1152"/>
      <c r="L6" s="1152"/>
      <c r="M6" s="1152"/>
      <c r="N6" s="1152"/>
      <c r="O6" s="1152"/>
    </row>
    <row r="8" spans="1:16" ht="20.25">
      <c r="A8" s="445"/>
      <c r="N8" s="396" t="str">
        <f>"Page "&amp;P8&amp;" of "</f>
        <v xml:space="preserve">Page 1 of </v>
      </c>
      <c r="O8" s="446">
        <f>COUNT(P$8:P$56653)</f>
        <v>2</v>
      </c>
      <c r="P8" s="396">
        <v>1</v>
      </c>
    </row>
    <row r="9" spans="1:16" ht="18">
      <c r="C9" s="6"/>
    </row>
    <row r="11" spans="1:16" ht="18">
      <c r="B11" s="447" t="s">
        <v>469</v>
      </c>
      <c r="C11" s="1189" t="str">
        <f>"Calculate Return and Income Taxes with "&amp;F17&amp;" basis point ROE increase for Projects Qualified for Regional Billing."</f>
        <v>Calculate Return and Income Taxes with 0 basis point ROE increase for Projects Qualified for Regional Billing.</v>
      </c>
      <c r="D11" s="1190"/>
      <c r="E11" s="1190"/>
      <c r="F11" s="1190"/>
      <c r="G11" s="1190"/>
      <c r="H11" s="1190"/>
    </row>
    <row r="12" spans="1:16" ht="18.75" customHeight="1">
      <c r="C12" s="1190"/>
      <c r="D12" s="1190"/>
      <c r="E12" s="1190"/>
      <c r="F12" s="1190"/>
      <c r="G12" s="1190"/>
      <c r="H12" s="1190"/>
    </row>
    <row r="13" spans="1:16" ht="15.75" customHeight="1">
      <c r="C13" s="448"/>
      <c r="D13" s="448"/>
      <c r="E13" s="448"/>
      <c r="F13" s="448"/>
      <c r="G13" s="448"/>
      <c r="H13" s="448"/>
    </row>
    <row r="14" spans="1:16" ht="15.75">
      <c r="C14" s="449" t="str">
        <f>"A.   Determine 'R' with hypothetical "&amp;F17&amp;" basis point increase in ROE for Identified Projects"</f>
        <v>A.   Determine 'R' with hypothetical 0 basis point increase in ROE for Identified Projects</v>
      </c>
    </row>
    <row r="16" spans="1:16">
      <c r="C16" s="450" t="str">
        <f>"   ROE w/o incentives  (TCOS, ln "&amp;TCOS!B251&amp;")"</f>
        <v xml:space="preserve">   ROE w/o incentives  (TCOS, ln 138)</v>
      </c>
      <c r="E16" s="451"/>
      <c r="F16" s="452">
        <f>TCOS!J251</f>
        <v>0.10349999999999999</v>
      </c>
      <c r="G16" s="451"/>
      <c r="H16" s="453"/>
      <c r="I16" s="453"/>
      <c r="J16" s="453"/>
      <c r="K16" s="453"/>
      <c r="L16" s="453"/>
      <c r="M16" s="453"/>
      <c r="N16" s="453"/>
      <c r="O16" s="453"/>
      <c r="P16" s="453"/>
    </row>
    <row r="17" spans="3:16">
      <c r="C17" s="450" t="s">
        <v>50</v>
      </c>
      <c r="E17" s="451"/>
      <c r="F17" s="563">
        <v>0</v>
      </c>
      <c r="G17" s="451"/>
      <c r="H17" s="453"/>
      <c r="I17" s="453"/>
      <c r="J17" s="453"/>
    </row>
    <row r="18" spans="3:16">
      <c r="C18" s="450" t="str">
        <f>"   ROE with additional "&amp;F17&amp;" basis point incentive"</f>
        <v xml:space="preserve">   ROE with additional 0 basis point incentive</v>
      </c>
      <c r="D18" s="451"/>
      <c r="E18" s="451"/>
      <c r="F18" s="454">
        <f>IF((F16+(F17/10000)&gt;0.1274),"ERROR",F16+(F17/10000))</f>
        <v>0.10349999999999999</v>
      </c>
      <c r="G18" s="455"/>
      <c r="H18" s="453"/>
      <c r="I18" s="453"/>
      <c r="J18" s="453"/>
    </row>
    <row r="19" spans="3:16">
      <c r="C19" s="450" t="str">
        <f>"   Determine R  ( cost of long term debt, cost of preferred stock and equity percentage is from the TCOS, lns "&amp;TCOS!B249&amp;" through "&amp;TCOS!B251&amp;")"</f>
        <v xml:space="preserve">   Determine R  ( cost of long term debt, cost of preferred stock and equity percentage is from the TCOS, lns 136 through 138)</v>
      </c>
      <c r="E19" s="451"/>
      <c r="F19" s="456"/>
      <c r="G19" s="451"/>
      <c r="H19" s="453"/>
      <c r="I19" s="453"/>
      <c r="J19" s="453"/>
    </row>
    <row r="20" spans="3:16">
      <c r="C20" s="453"/>
      <c r="D20" s="457" t="s">
        <v>444</v>
      </c>
      <c r="E20" s="457" t="s">
        <v>443</v>
      </c>
      <c r="F20" s="458" t="s">
        <v>51</v>
      </c>
      <c r="G20" s="451"/>
      <c r="H20" s="453"/>
      <c r="I20" s="453"/>
      <c r="J20" s="453"/>
    </row>
    <row r="21" spans="3:16" ht="13.5" thickBot="1">
      <c r="C21" s="459" t="s">
        <v>56</v>
      </c>
      <c r="D21" s="460">
        <f>TCOS!H249</f>
        <v>0.44756713290339484</v>
      </c>
      <c r="E21" s="460">
        <f>TCOS!J249</f>
        <v>3.8934799380806559E-2</v>
      </c>
      <c r="F21" s="461">
        <f>E21*D21</f>
        <v>1.7425936529036463E-2</v>
      </c>
      <c r="G21" s="451"/>
      <c r="H21" s="453"/>
      <c r="I21" s="462"/>
      <c r="J21" s="462"/>
      <c r="K21" s="98"/>
      <c r="L21" s="98"/>
      <c r="M21" s="98"/>
      <c r="N21" s="98"/>
      <c r="O21" s="98"/>
    </row>
    <row r="22" spans="3:16">
      <c r="C22" s="459" t="s">
        <v>57</v>
      </c>
      <c r="D22" s="460">
        <f>TCOS!H250</f>
        <v>0</v>
      </c>
      <c r="E22" s="460">
        <f>TCOS!J250</f>
        <v>0</v>
      </c>
      <c r="F22" s="461">
        <f>E22*D22</f>
        <v>0</v>
      </c>
      <c r="G22" s="463"/>
      <c r="H22" s="463"/>
      <c r="I22" s="464"/>
      <c r="J22" s="464"/>
      <c r="K22" s="1192" t="s">
        <v>239</v>
      </c>
      <c r="L22" s="1193"/>
      <c r="M22" s="1193"/>
      <c r="N22" s="1193"/>
      <c r="O22" s="1194"/>
      <c r="P22" s="464"/>
    </row>
    <row r="23" spans="3:16">
      <c r="C23" s="459" t="s">
        <v>29</v>
      </c>
      <c r="D23" s="460">
        <f>TCOS!H251</f>
        <v>0.55243286709660511</v>
      </c>
      <c r="E23" s="460">
        <f>+F18</f>
        <v>0.10349999999999999</v>
      </c>
      <c r="F23" s="465">
        <f>E23*D23</f>
        <v>5.7176801744498629E-2</v>
      </c>
      <c r="G23" s="463"/>
      <c r="H23" s="463"/>
      <c r="I23" s="464"/>
      <c r="J23" s="464"/>
      <c r="K23" s="1195"/>
      <c r="L23" s="1196"/>
      <c r="M23" s="1196"/>
      <c r="N23" s="1196"/>
      <c r="O23" s="1197"/>
      <c r="P23" s="464"/>
    </row>
    <row r="24" spans="3:16">
      <c r="C24" s="450"/>
      <c r="D24"/>
      <c r="E24" s="466" t="s">
        <v>58</v>
      </c>
      <c r="F24" s="461">
        <f>SUM(F21:F23)</f>
        <v>7.4602738273535085E-2</v>
      </c>
      <c r="G24" s="463"/>
      <c r="H24" s="463"/>
      <c r="I24" s="464"/>
      <c r="J24" s="464"/>
      <c r="K24" s="467"/>
      <c r="L24" s="468"/>
      <c r="M24" s="469" t="s">
        <v>52</v>
      </c>
      <c r="N24" s="469" t="s">
        <v>53</v>
      </c>
      <c r="O24" s="470" t="s">
        <v>55</v>
      </c>
      <c r="P24" s="464"/>
    </row>
    <row r="25" spans="3:16">
      <c r="C25" s="3"/>
      <c r="D25" s="471"/>
      <c r="E25" s="471"/>
      <c r="F25" s="463"/>
      <c r="G25" s="463"/>
      <c r="H25" s="463"/>
      <c r="I25" s="463"/>
      <c r="J25" s="463"/>
      <c r="K25" s="472"/>
      <c r="L25" s="98"/>
      <c r="M25" s="98"/>
      <c r="N25" s="98"/>
      <c r="O25" s="473"/>
      <c r="P25" s="463"/>
    </row>
    <row r="26" spans="3:16" ht="16.5" thickBot="1">
      <c r="C26" s="449" t="str">
        <f>"B.   Determine Return using 'R' with hypothetical "&amp;F17&amp;" basis point ROE increase for Identified Projects."</f>
        <v>B.   Determine Return using 'R' with hypothetical 0 basis point ROE increase for Identified Projects.</v>
      </c>
      <c r="D26" s="471"/>
      <c r="E26" s="471"/>
      <c r="F26" s="463"/>
      <c r="G26" s="463"/>
      <c r="H26" s="451"/>
      <c r="I26" s="463"/>
      <c r="J26" s="463"/>
      <c r="K26" s="474" t="s">
        <v>59</v>
      </c>
      <c r="L26" s="475">
        <f>+TCOS!L4</f>
        <v>2026</v>
      </c>
      <c r="M26" s="650">
        <f>N88</f>
        <v>4688439.5797545481</v>
      </c>
      <c r="N26" s="650">
        <f>N89</f>
        <v>4688439.5797545481</v>
      </c>
      <c r="O26" s="476">
        <f>+N26-M26</f>
        <v>0</v>
      </c>
      <c r="P26" s="463"/>
    </row>
    <row r="27" spans="3:16">
      <c r="C27" s="453"/>
      <c r="D27" s="471"/>
      <c r="E27" s="471"/>
      <c r="F27" s="463"/>
      <c r="G27" s="463"/>
      <c r="H27" s="463"/>
      <c r="I27" s="463"/>
      <c r="J27" s="463"/>
      <c r="K27" s="477"/>
      <c r="L27" s="477"/>
      <c r="M27" s="478"/>
      <c r="N27" s="477"/>
      <c r="O27" s="477"/>
      <c r="P27" s="463"/>
    </row>
    <row r="28" spans="3:16">
      <c r="C28" s="450" t="str">
        <f>"   Rate Base  (TCOS, ln "&amp;TCOS!B118&amp;")"</f>
        <v xml:space="preserve">   Rate Base  (TCOS, ln 58)</v>
      </c>
      <c r="D28" s="451"/>
      <c r="F28" s="479">
        <f>TCOS!L118</f>
        <v>126723468.81398907</v>
      </c>
      <c r="G28" s="463"/>
      <c r="H28" s="463"/>
      <c r="I28" s="463"/>
      <c r="J28" s="463"/>
      <c r="K28" s="477"/>
      <c r="L28" s="477"/>
      <c r="M28" s="477"/>
      <c r="N28" s="477"/>
      <c r="O28" s="480"/>
      <c r="P28" s="463"/>
    </row>
    <row r="29" spans="3:16">
      <c r="C29" s="453" t="s">
        <v>284</v>
      </c>
      <c r="D29" s="481"/>
      <c r="F29" s="461">
        <f>F24</f>
        <v>7.4602738273535085E-2</v>
      </c>
      <c r="G29" s="463"/>
      <c r="H29" s="463"/>
      <c r="I29" s="463"/>
      <c r="J29" s="463"/>
      <c r="K29" s="463"/>
      <c r="L29" s="463"/>
      <c r="M29" s="463"/>
      <c r="N29" s="463"/>
      <c r="O29" s="463"/>
      <c r="P29" s="463"/>
    </row>
    <row r="30" spans="3:16">
      <c r="C30" s="482" t="s">
        <v>61</v>
      </c>
      <c r="D30" s="482"/>
      <c r="F30" s="464">
        <f>F28*F29</f>
        <v>9453917.7770445123</v>
      </c>
      <c r="G30" s="463"/>
      <c r="H30" s="463"/>
      <c r="I30" s="464"/>
      <c r="J30" s="464"/>
      <c r="K30" s="464"/>
      <c r="L30" s="464"/>
      <c r="M30" s="464"/>
      <c r="N30" s="464"/>
      <c r="O30" s="463"/>
      <c r="P30" s="464"/>
    </row>
    <row r="31" spans="3:16">
      <c r="C31" s="482"/>
      <c r="D31" s="453"/>
      <c r="E31" s="453"/>
      <c r="F31" s="463"/>
      <c r="G31" s="463"/>
      <c r="H31" s="463"/>
      <c r="I31" s="464"/>
      <c r="J31" s="464"/>
      <c r="K31" s="464"/>
      <c r="L31" s="464"/>
      <c r="M31" s="464"/>
      <c r="N31" s="464"/>
      <c r="O31" s="463"/>
      <c r="P31" s="464"/>
    </row>
    <row r="32" spans="3:16" ht="15.75">
      <c r="C32" s="449" t="str">
        <f>"C.   Determine Income Taxes using Return with hypothetical "&amp;F17&amp;" basis point ROE increase for Identified Projects."</f>
        <v>C.   Determine Income Taxes using Return with hypothetical 0 basis point ROE increase for Identified Projects.</v>
      </c>
      <c r="D32" s="483"/>
      <c r="E32" s="483"/>
      <c r="F32" s="484"/>
      <c r="G32" s="484"/>
      <c r="H32" s="484"/>
      <c r="I32" s="485"/>
      <c r="J32" s="485"/>
      <c r="K32" s="485"/>
      <c r="L32" s="485"/>
      <c r="M32" s="485"/>
      <c r="N32" s="485"/>
      <c r="O32" s="484"/>
      <c r="P32" s="485"/>
    </row>
    <row r="33" spans="2:16">
      <c r="C33" s="450"/>
      <c r="D33" s="453"/>
      <c r="E33" s="453"/>
      <c r="F33" s="463"/>
      <c r="G33" s="463"/>
      <c r="H33" s="463"/>
      <c r="I33" s="464"/>
      <c r="J33" s="464"/>
      <c r="K33" s="464"/>
      <c r="L33" s="464"/>
      <c r="M33" s="464"/>
      <c r="N33" s="464"/>
      <c r="O33" s="463"/>
      <c r="P33" s="464"/>
    </row>
    <row r="34" spans="2:16">
      <c r="C34" s="453" t="s">
        <v>62</v>
      </c>
      <c r="D34" s="466"/>
      <c r="F34" s="486">
        <f>F30</f>
        <v>9453917.7770445123</v>
      </c>
      <c r="G34" s="463"/>
      <c r="H34" s="463"/>
      <c r="I34" s="463"/>
      <c r="J34" s="463"/>
      <c r="K34" s="463"/>
      <c r="L34" s="463"/>
      <c r="M34" s="463"/>
      <c r="N34" s="463"/>
      <c r="O34" s="463"/>
      <c r="P34" s="463"/>
    </row>
    <row r="35" spans="2:16">
      <c r="C35" s="450" t="str">
        <f>"   Effective Tax Rate  (TCOS, ln "&amp;TCOS!B178&amp;")"</f>
        <v xml:space="preserve">   Effective Tax Rate  (TCOS, ln 97)</v>
      </c>
      <c r="D35" s="47"/>
      <c r="F35" s="487">
        <f>TCOS!G178</f>
        <v>0.25377584964972516</v>
      </c>
      <c r="G35" s="3"/>
      <c r="H35" s="488"/>
      <c r="I35" s="3"/>
      <c r="J35" s="3"/>
      <c r="K35" s="3"/>
      <c r="L35" s="3"/>
      <c r="M35" s="3"/>
      <c r="N35" s="3"/>
      <c r="O35" s="3"/>
      <c r="P35" s="3"/>
    </row>
    <row r="36" spans="2:16">
      <c r="C36" s="482" t="s">
        <v>63</v>
      </c>
      <c r="D36" s="47"/>
      <c r="F36" s="489">
        <f>F34*F35</f>
        <v>2399176.0163881122</v>
      </c>
      <c r="G36" s="3"/>
      <c r="H36" s="488"/>
      <c r="I36" s="3"/>
      <c r="J36" s="3"/>
      <c r="K36" s="3"/>
      <c r="L36" s="3"/>
      <c r="M36" s="3"/>
      <c r="N36" s="3"/>
      <c r="O36" s="3"/>
      <c r="P36" s="3"/>
    </row>
    <row r="37" spans="2:16" ht="15">
      <c r="C37" s="450" t="s">
        <v>105</v>
      </c>
      <c r="D37" s="134"/>
      <c r="F37" s="463">
        <f>TCOS!L186</f>
        <v>0</v>
      </c>
      <c r="G37" s="134"/>
      <c r="H37" s="134"/>
      <c r="I37" s="134"/>
      <c r="J37" s="134"/>
      <c r="K37" s="134"/>
      <c r="L37" s="134"/>
      <c r="M37" s="134"/>
      <c r="N37" s="134"/>
      <c r="O37" s="148"/>
      <c r="P37" s="134"/>
    </row>
    <row r="38" spans="2:16" ht="15">
      <c r="C38" s="450" t="s">
        <v>558</v>
      </c>
      <c r="D38" s="134"/>
      <c r="F38" s="463">
        <f>TCOS!L187</f>
        <v>20374.694570535372</v>
      </c>
      <c r="G38" s="134"/>
      <c r="H38" s="134"/>
      <c r="I38" s="134"/>
      <c r="J38" s="134"/>
      <c r="K38" s="134"/>
      <c r="L38" s="134"/>
      <c r="M38" s="134"/>
      <c r="N38" s="134"/>
      <c r="O38" s="148"/>
      <c r="P38" s="134"/>
    </row>
    <row r="39" spans="2:16" ht="15.75" thickBot="1">
      <c r="C39" s="450" t="s">
        <v>560</v>
      </c>
      <c r="D39" s="134"/>
      <c r="F39" s="490">
        <f>TCOS!L188</f>
        <v>52998.835182321622</v>
      </c>
      <c r="G39" s="134"/>
      <c r="H39" s="134"/>
      <c r="I39" s="134"/>
      <c r="J39" s="134"/>
      <c r="K39" s="134"/>
      <c r="L39" s="134"/>
      <c r="M39" s="134"/>
      <c r="N39" s="134"/>
      <c r="O39" s="148"/>
      <c r="P39" s="134"/>
    </row>
    <row r="40" spans="2:16" ht="15">
      <c r="C40" s="482" t="s">
        <v>64</v>
      </c>
      <c r="D40" s="134"/>
      <c r="F40" s="463">
        <f>F36+F37+F38+F39</f>
        <v>2472549.5461409693</v>
      </c>
      <c r="G40" s="240"/>
      <c r="H40" s="134"/>
      <c r="I40" s="134"/>
      <c r="J40" s="134"/>
      <c r="K40" s="134"/>
      <c r="L40" s="134"/>
      <c r="M40" s="134"/>
      <c r="N40" s="134"/>
      <c r="O40" s="147"/>
      <c r="P40" s="134"/>
    </row>
    <row r="41" spans="2:16" ht="12.75" customHeight="1">
      <c r="C41" s="130"/>
      <c r="D41" s="134"/>
      <c r="E41" s="134"/>
      <c r="F41" s="134"/>
      <c r="G41" s="134"/>
      <c r="H41" s="134"/>
      <c r="I41" s="134"/>
      <c r="J41" s="134"/>
      <c r="K41" s="134"/>
      <c r="L41" s="134"/>
      <c r="M41" s="134"/>
      <c r="N41" s="134"/>
      <c r="O41" s="147"/>
      <c r="P41" s="134"/>
    </row>
    <row r="42" spans="2:16" ht="18.75">
      <c r="B42" s="447" t="s">
        <v>470</v>
      </c>
      <c r="C42" s="6" t="str">
        <f>"Calculate Net Plant Carrying Charge Rate (Fixed Charge Rate or FCR) with hypothetical "&amp;F17&amp;""</f>
        <v>Calculate Net Plant Carrying Charge Rate (Fixed Charge Rate or FCR) with hypothetical 0</v>
      </c>
      <c r="D42" s="134"/>
      <c r="E42" s="134"/>
      <c r="F42" s="134"/>
      <c r="G42" s="134"/>
      <c r="H42" s="134"/>
      <c r="I42" s="134"/>
      <c r="J42" s="134"/>
      <c r="K42" s="134"/>
      <c r="L42" s="134"/>
      <c r="M42" s="134"/>
      <c r="N42" s="134"/>
      <c r="O42" s="147"/>
      <c r="P42" s="134"/>
    </row>
    <row r="43" spans="2:16" ht="18.75" customHeight="1">
      <c r="C43" s="6" t="str">
        <f>"basis point ROE increase."</f>
        <v>basis point ROE increase.</v>
      </c>
      <c r="D43" s="134"/>
      <c r="E43" s="134"/>
      <c r="F43" s="134"/>
      <c r="G43" s="134"/>
      <c r="H43" s="134"/>
      <c r="I43" s="134"/>
      <c r="J43" s="134"/>
      <c r="K43" s="134"/>
      <c r="L43" s="134"/>
      <c r="M43" s="134"/>
      <c r="N43" s="134"/>
      <c r="O43" s="147"/>
      <c r="P43" s="134"/>
    </row>
    <row r="44" spans="2:16" ht="12.75" customHeight="1">
      <c r="C44" s="6"/>
      <c r="D44" s="134"/>
      <c r="E44" s="134"/>
      <c r="F44" s="134"/>
      <c r="G44" s="134"/>
      <c r="H44" s="134"/>
      <c r="I44" s="134"/>
      <c r="J44" s="134"/>
      <c r="K44" s="134"/>
      <c r="L44" s="134"/>
      <c r="M44" s="134"/>
      <c r="N44" s="134"/>
      <c r="O44" s="147"/>
      <c r="P44" s="134"/>
    </row>
    <row r="45" spans="2:16" ht="15.75">
      <c r="C45" s="449" t="s">
        <v>261</v>
      </c>
      <c r="D45" s="134"/>
      <c r="E45" s="134"/>
      <c r="F45" s="130"/>
      <c r="G45" s="134"/>
      <c r="H45" s="134"/>
      <c r="I45" s="134"/>
      <c r="J45" s="134"/>
      <c r="K45" s="134"/>
      <c r="L45" s="134"/>
      <c r="M45" s="134"/>
      <c r="N45" s="134"/>
      <c r="O45" s="147"/>
      <c r="P45" s="134"/>
    </row>
    <row r="46" spans="2:16">
      <c r="B46" s="3"/>
      <c r="C46" s="450"/>
      <c r="D46" s="451"/>
      <c r="E46" s="451"/>
      <c r="F46" s="451"/>
      <c r="G46" s="451"/>
      <c r="H46" s="451"/>
      <c r="I46" s="451"/>
      <c r="J46" s="451"/>
      <c r="K46" s="451"/>
      <c r="L46" s="451"/>
      <c r="M46" s="451"/>
      <c r="N46" s="451"/>
      <c r="O46" s="463"/>
      <c r="P46" s="451"/>
    </row>
    <row r="47" spans="2:16" ht="12.75" customHeight="1">
      <c r="B47" s="3"/>
      <c r="C47" s="450" t="str">
        <f>"   Annual Revenue Requirement  (TCOS, ln "&amp;TCOS!B13&amp;")"</f>
        <v xml:space="preserve">   Annual Revenue Requirement  (TCOS, ln 1)</v>
      </c>
      <c r="D47" s="451"/>
      <c r="E47" s="451"/>
      <c r="G47" s="463">
        <f>TCOS!L13</f>
        <v>20234596.054935426</v>
      </c>
      <c r="H47" s="653"/>
      <c r="I47" s="451"/>
      <c r="J47" s="451"/>
      <c r="K47" s="451"/>
      <c r="L47" s="451"/>
      <c r="M47" s="451"/>
      <c r="N47" s="451"/>
      <c r="O47" s="463"/>
      <c r="P47" s="451"/>
    </row>
    <row r="48" spans="2:16" ht="12.75" customHeight="1">
      <c r="B48" s="3"/>
      <c r="C48" s="450" t="str">
        <f>"   Lease Payments (TCOS, Ln "&amp;TCOS!B157&amp;")"</f>
        <v xml:space="preserve">   Lease Payments (TCOS, Ln 80)</v>
      </c>
      <c r="D48" s="451"/>
      <c r="E48" s="451"/>
      <c r="G48" s="463">
        <f>+TCOS!L157</f>
        <v>0</v>
      </c>
      <c r="H48" s="653"/>
      <c r="I48" s="451"/>
      <c r="J48" s="451"/>
      <c r="K48" s="451"/>
      <c r="L48" s="451"/>
      <c r="M48" s="451"/>
      <c r="N48" s="451"/>
      <c r="O48" s="463"/>
      <c r="P48" s="451"/>
    </row>
    <row r="49" spans="2:16">
      <c r="B49" s="3"/>
      <c r="C49" s="450" t="str">
        <f>"   Return  (TCOS, ln "&amp;TCOS!B191&amp;")"</f>
        <v xml:space="preserve">   Return  (TCOS, ln 109)</v>
      </c>
      <c r="D49" s="451"/>
      <c r="E49" s="451"/>
      <c r="G49" s="464">
        <f>TCOS!L191</f>
        <v>9434012.2380369809</v>
      </c>
      <c r="H49" s="654"/>
      <c r="I49" s="451"/>
      <c r="J49" s="450"/>
      <c r="K49" s="450"/>
      <c r="L49" s="450"/>
      <c r="M49" s="450"/>
      <c r="N49" s="450"/>
      <c r="O49" s="463"/>
      <c r="P49" s="450"/>
    </row>
    <row r="50" spans="2:16">
      <c r="B50" s="3"/>
      <c r="C50" s="450" t="str">
        <f>"   Income Taxes  (TCOS, ln "&amp;TCOS!B189&amp;")"</f>
        <v xml:space="preserve">   Income Taxes  (TCOS, ln 108)</v>
      </c>
      <c r="D50" s="451"/>
      <c r="E50" s="451"/>
      <c r="G50" s="492">
        <f>F40</f>
        <v>2472549.5461409693</v>
      </c>
      <c r="H50" s="653"/>
      <c r="I50" s="451"/>
      <c r="J50" s="493"/>
      <c r="K50" s="493"/>
      <c r="L50" s="493"/>
      <c r="M50" s="493"/>
      <c r="N50" s="493"/>
      <c r="O50" s="451"/>
      <c r="P50" s="493"/>
    </row>
    <row r="51" spans="2:16">
      <c r="B51" s="3"/>
      <c r="C51" s="3" t="s">
        <v>615</v>
      </c>
      <c r="D51" s="451"/>
      <c r="E51" s="451"/>
      <c r="G51" s="464">
        <f>G47-G49-G50-G48</f>
        <v>8328034.2707574759</v>
      </c>
      <c r="H51" s="464"/>
      <c r="I51" s="451"/>
      <c r="J51" s="494"/>
      <c r="K51" s="494"/>
      <c r="L51" s="494"/>
      <c r="M51" s="494"/>
      <c r="N51" s="494"/>
      <c r="O51" s="494"/>
      <c r="P51" s="494"/>
    </row>
    <row r="52" spans="2:16">
      <c r="B52" s="3"/>
      <c r="C52" s="450"/>
      <c r="D52" s="451"/>
      <c r="E52" s="451"/>
      <c r="F52" s="463"/>
      <c r="G52" s="495"/>
      <c r="H52" s="496"/>
      <c r="I52" s="451"/>
      <c r="J52" s="496"/>
      <c r="K52" s="496"/>
      <c r="L52" s="496"/>
      <c r="M52" s="496"/>
      <c r="N52" s="496"/>
      <c r="O52" s="496"/>
      <c r="P52" s="496"/>
    </row>
    <row r="53" spans="2:16" ht="15.75">
      <c r="B53" s="3"/>
      <c r="C53" s="449" t="str">
        <f>"B.   Determine Annual Revenue Requirement with hypothetical "&amp;F17&amp;" basis point increase in ROE."</f>
        <v>B.   Determine Annual Revenue Requirement with hypothetical 0 basis point increase in ROE.</v>
      </c>
      <c r="D53" s="453"/>
      <c r="E53" s="453"/>
      <c r="F53" s="463"/>
      <c r="G53" s="495"/>
      <c r="H53" s="496"/>
      <c r="I53" s="496"/>
      <c r="J53" s="496"/>
      <c r="K53" s="496"/>
      <c r="L53" s="496"/>
      <c r="M53" s="496"/>
      <c r="N53" s="496"/>
      <c r="O53" s="496"/>
      <c r="P53" s="496"/>
    </row>
    <row r="54" spans="2:16">
      <c r="B54" s="3"/>
      <c r="C54" s="450"/>
      <c r="D54" s="453"/>
      <c r="E54" s="453"/>
      <c r="F54" s="463"/>
      <c r="G54" s="495"/>
      <c r="H54" s="496"/>
      <c r="I54" s="496"/>
      <c r="J54" s="496"/>
      <c r="K54" s="496"/>
      <c r="L54" s="496"/>
      <c r="M54" s="496"/>
      <c r="N54" s="496"/>
      <c r="O54" s="496"/>
      <c r="P54" s="496"/>
    </row>
    <row r="55" spans="2:16">
      <c r="B55" s="3"/>
      <c r="C55" s="450" t="str">
        <f>C51</f>
        <v xml:space="preserve">   Annual Revenue Requirement, Less Return and Taxes</v>
      </c>
      <c r="D55" s="453"/>
      <c r="E55" s="453"/>
      <c r="G55" s="463">
        <f>G51</f>
        <v>8328034.2707574759</v>
      </c>
      <c r="H55" s="463"/>
      <c r="I55" s="451"/>
      <c r="J55" s="451"/>
      <c r="K55" s="451"/>
      <c r="L55" s="451"/>
      <c r="M55" s="451"/>
      <c r="N55" s="451"/>
      <c r="O55" s="497"/>
      <c r="P55" s="451"/>
    </row>
    <row r="56" spans="2:16">
      <c r="B56" s="3"/>
      <c r="C56" s="453" t="s">
        <v>102</v>
      </c>
      <c r="D56" s="47"/>
      <c r="E56" s="3"/>
      <c r="G56" s="489">
        <f>F30</f>
        <v>9453917.7770445123</v>
      </c>
      <c r="H56" s="655"/>
      <c r="I56" s="451"/>
      <c r="J56" s="3"/>
      <c r="K56" s="3"/>
      <c r="L56" s="3"/>
      <c r="M56" s="3"/>
      <c r="N56" s="3"/>
      <c r="O56" s="3"/>
      <c r="P56" s="3"/>
    </row>
    <row r="57" spans="2:16" ht="12.75" customHeight="1">
      <c r="B57" s="3"/>
      <c r="C57" s="450" t="s">
        <v>70</v>
      </c>
      <c r="D57" s="451"/>
      <c r="E57" s="451"/>
      <c r="G57" s="492">
        <f>F40</f>
        <v>2472549.5461409693</v>
      </c>
      <c r="H57" s="653"/>
      <c r="I57" s="451"/>
      <c r="J57" s="3"/>
      <c r="K57" s="3"/>
      <c r="L57" s="3"/>
      <c r="M57" s="3"/>
      <c r="N57" s="3"/>
      <c r="O57" s="3"/>
      <c r="P57" s="3"/>
    </row>
    <row r="58" spans="2:16">
      <c r="B58" s="3"/>
      <c r="C58" s="3" t="str">
        <f>"   Annual Revenue Requirement, with "&amp;F17&amp;" Basis Point ROE increase"</f>
        <v xml:space="preserve">   Annual Revenue Requirement, with 0 Basis Point ROE increase</v>
      </c>
      <c r="D58" s="47"/>
      <c r="E58" s="3"/>
      <c r="G58" s="489">
        <f>SUM(G55:G57)</f>
        <v>20254501.593942955</v>
      </c>
      <c r="H58" s="655"/>
      <c r="I58" s="451"/>
      <c r="J58" s="3"/>
      <c r="K58" s="3"/>
      <c r="L58" s="3"/>
      <c r="M58" s="3"/>
      <c r="N58" s="3"/>
      <c r="O58" s="3"/>
      <c r="P58" s="3"/>
    </row>
    <row r="59" spans="2:16">
      <c r="B59" s="3"/>
      <c r="C59" s="450" t="str">
        <f>"   Depreciation &amp; Amortization (TCOS, ln "&amp;TCOS!B161&amp;")"</f>
        <v xml:space="preserve">   Depreciation &amp; Amortization (TCOS, ln 83)</v>
      </c>
      <c r="D59" s="47"/>
      <c r="E59" s="3"/>
      <c r="G59" s="498">
        <f>TCOS!L161</f>
        <v>3818363.7367100799</v>
      </c>
      <c r="H59" s="655"/>
      <c r="I59" s="451"/>
      <c r="J59" s="3"/>
      <c r="K59" s="3"/>
      <c r="L59" s="3"/>
      <c r="M59" s="3"/>
      <c r="N59" s="3"/>
      <c r="O59" s="3"/>
      <c r="P59" s="3"/>
    </row>
    <row r="60" spans="2:16">
      <c r="B60" s="3"/>
      <c r="C60" s="3" t="str">
        <f>"   Annual Rev. Req, w/"&amp;F17&amp;" Basis Point ROE increase, less Depreciation"</f>
        <v xml:space="preserve">   Annual Rev. Req, w/0 Basis Point ROE increase, less Depreciation</v>
      </c>
      <c r="D60" s="47"/>
      <c r="E60" s="3"/>
      <c r="G60" s="489">
        <f>G58-G59</f>
        <v>16436137.857232876</v>
      </c>
      <c r="H60" s="655"/>
      <c r="I60" s="451"/>
      <c r="J60" s="3"/>
      <c r="K60" s="3"/>
      <c r="L60" s="3"/>
      <c r="M60" s="3"/>
      <c r="N60" s="3"/>
      <c r="O60" s="3"/>
      <c r="P60" s="3"/>
    </row>
    <row r="61" spans="2:16">
      <c r="B61" s="3"/>
      <c r="C61" s="3"/>
      <c r="D61" s="47"/>
      <c r="E61" s="3"/>
      <c r="F61" s="3"/>
      <c r="G61" s="3"/>
      <c r="H61" s="656"/>
      <c r="I61" s="451"/>
      <c r="J61" s="3"/>
      <c r="K61" s="3"/>
      <c r="L61" s="3"/>
      <c r="M61" s="3"/>
      <c r="N61" s="3"/>
      <c r="O61" s="3"/>
      <c r="P61" s="3"/>
    </row>
    <row r="62" spans="2:16" ht="15.75">
      <c r="B62" s="3"/>
      <c r="C62" s="449" t="str">
        <f>"C.   Determine FCR with hypothetical "&amp;F17&amp;" basis point ROE increase."</f>
        <v>C.   Determine FCR with hypothetical 0 basis point ROE increase.</v>
      </c>
      <c r="D62" s="47"/>
      <c r="E62" s="3"/>
      <c r="F62" s="3"/>
      <c r="G62" s="3"/>
      <c r="H62" s="656"/>
      <c r="I62" s="451"/>
      <c r="J62" s="3"/>
      <c r="K62" s="3"/>
      <c r="L62" s="3"/>
      <c r="M62" s="3"/>
      <c r="N62" s="3"/>
      <c r="O62" s="3"/>
      <c r="P62" s="3"/>
    </row>
    <row r="63" spans="2:16">
      <c r="B63" s="3"/>
      <c r="C63" s="3"/>
      <c r="D63" s="47"/>
      <c r="E63" s="3"/>
      <c r="F63" s="3"/>
      <c r="G63" s="3"/>
      <c r="H63" s="656"/>
      <c r="I63" s="451"/>
      <c r="J63" s="3"/>
      <c r="K63" s="3"/>
      <c r="L63" s="3"/>
      <c r="M63" s="3"/>
      <c r="N63" s="3"/>
      <c r="O63" s="3"/>
      <c r="P63" s="3"/>
    </row>
    <row r="64" spans="2:16">
      <c r="B64" s="3"/>
      <c r="C64" s="450" t="str">
        <f>"   Net Transmission Plant  (Projected TCOS, ln "&amp;TCOS!B83&amp;")"</f>
        <v xml:space="preserve">   Net Transmission Plant  (Projected TCOS, ln 33)</v>
      </c>
      <c r="D64" s="47"/>
      <c r="E64" s="3"/>
      <c r="G64" s="489">
        <f>TCOS!L83</f>
        <v>125917698.81306815</v>
      </c>
      <c r="H64" s="655"/>
      <c r="I64" s="451"/>
      <c r="J64" s="3"/>
      <c r="K64" s="3"/>
      <c r="L64" s="3"/>
      <c r="M64" s="3"/>
      <c r="N64" s="3"/>
      <c r="O64" s="3"/>
      <c r="P64" s="3"/>
    </row>
    <row r="65" spans="2:17">
      <c r="B65" s="3"/>
      <c r="C65" s="3" t="str">
        <f>"   Annual Revenue Requirement, with "&amp;F17&amp;" Basis Point ROE increase"</f>
        <v xml:space="preserve">   Annual Revenue Requirement, with 0 Basis Point ROE increase</v>
      </c>
      <c r="D65" s="47"/>
      <c r="E65" s="3"/>
      <c r="G65" s="489">
        <f>G58</f>
        <v>20254501.593942955</v>
      </c>
      <c r="H65" s="655"/>
      <c r="I65" s="451"/>
      <c r="J65" s="3"/>
      <c r="K65" s="3"/>
      <c r="L65" s="3"/>
      <c r="M65" s="3"/>
      <c r="N65" s="3"/>
      <c r="O65" s="3"/>
      <c r="P65" s="3"/>
    </row>
    <row r="66" spans="2:17">
      <c r="B66" s="3"/>
      <c r="C66" s="3" t="str">
        <f>"   FCR with "&amp;F17&amp;" Basis Point increase in ROE"</f>
        <v xml:space="preserve">   FCR with 0 Basis Point increase in ROE</v>
      </c>
      <c r="D66" s="47"/>
      <c r="E66" s="3"/>
      <c r="G66" s="487">
        <f>IF(G64=0,0,G65/G64)</f>
        <v>0.16085508061906287</v>
      </c>
      <c r="H66" s="657"/>
      <c r="I66" s="451"/>
      <c r="J66" s="3"/>
      <c r="K66" s="3"/>
      <c r="L66" s="3"/>
      <c r="M66" s="3"/>
      <c r="N66" s="3"/>
      <c r="O66" s="3"/>
      <c r="P66" s="3"/>
    </row>
    <row r="67" spans="2:17">
      <c r="B67" s="3"/>
      <c r="C67" s="41"/>
      <c r="D67" s="47"/>
      <c r="E67" s="3"/>
      <c r="G67" s="3"/>
      <c r="H67" s="289"/>
      <c r="I67" s="451"/>
      <c r="J67" s="3"/>
      <c r="K67" s="3"/>
      <c r="L67" s="3"/>
      <c r="M67" s="3"/>
      <c r="N67" s="3"/>
      <c r="O67" s="3"/>
      <c r="P67" s="3"/>
    </row>
    <row r="68" spans="2:17">
      <c r="B68" s="3"/>
      <c r="C68" s="3" t="str">
        <f>"   Annual Rev. Req, w / "&amp;F17&amp;" Basis Point ROE increase, less Dep."</f>
        <v xml:space="preserve">   Annual Rev. Req, w / 0 Basis Point ROE increase, less Dep.</v>
      </c>
      <c r="D68" s="47"/>
      <c r="E68" s="3"/>
      <c r="G68" s="489">
        <f>G60</f>
        <v>16436137.857232876</v>
      </c>
      <c r="H68" s="655"/>
      <c r="I68" s="451"/>
      <c r="J68" s="3"/>
      <c r="K68" s="3"/>
      <c r="L68" s="3"/>
      <c r="M68" s="3"/>
      <c r="N68" s="3"/>
      <c r="O68" s="3"/>
      <c r="P68" s="3"/>
    </row>
    <row r="69" spans="2:17">
      <c r="B69" s="3"/>
      <c r="C69" s="3" t="str">
        <f>"   FCR with "&amp;F17&amp;" Basis Point ROE increase, less Depreciation"</f>
        <v xml:space="preserve">   FCR with 0 Basis Point ROE increase, less Depreciation</v>
      </c>
      <c r="D69" s="47"/>
      <c r="E69" s="3"/>
      <c r="G69" s="487">
        <f>IF(G64=0,0,G68/G64)</f>
        <v>0.13053079918203747</v>
      </c>
      <c r="H69" s="657"/>
      <c r="I69" s="499"/>
      <c r="J69" s="3"/>
      <c r="K69" s="3"/>
      <c r="L69" s="3"/>
      <c r="M69" s="3"/>
      <c r="N69" s="3"/>
      <c r="O69" s="3"/>
      <c r="P69" s="3"/>
    </row>
    <row r="70" spans="2:17">
      <c r="B70" s="3"/>
      <c r="C70" s="450" t="str">
        <f>"   FCR less Depreciation  (TCOS, ln "&amp;TCOS!B31&amp;")"</f>
        <v xml:space="preserve">   FCR less Depreciation  (TCOS, ln 10)</v>
      </c>
      <c r="D70" s="47"/>
      <c r="E70" s="3"/>
      <c r="G70" s="500">
        <f>TCOS!L31</f>
        <v>0.13037271545595952</v>
      </c>
      <c r="H70" s="658"/>
      <c r="I70" s="499"/>
      <c r="J70" s="3"/>
      <c r="K70" s="3"/>
      <c r="L70" s="3"/>
      <c r="M70" s="3"/>
      <c r="N70" s="3"/>
      <c r="O70" s="3"/>
      <c r="P70" s="3"/>
    </row>
    <row r="71" spans="2:17">
      <c r="B71" s="3"/>
      <c r="C71" s="3" t="str">
        <f>"   Incremental FCR with "&amp;F17&amp;" Basis Point ROE increase, less Depreciation"</f>
        <v xml:space="preserve">   Incremental FCR with 0 Basis Point ROE increase, less Depreciation</v>
      </c>
      <c r="D71" s="47"/>
      <c r="E71" s="3"/>
      <c r="G71" s="487">
        <f>G69-G70</f>
        <v>1.5808372607795107E-4</v>
      </c>
      <c r="H71" s="657"/>
      <c r="I71" s="451"/>
      <c r="J71" s="3"/>
      <c r="K71" s="3"/>
      <c r="L71" s="3"/>
      <c r="M71" s="3"/>
      <c r="N71" s="3"/>
      <c r="O71" s="3"/>
      <c r="P71" s="3"/>
    </row>
    <row r="72" spans="2:17">
      <c r="B72" s="3"/>
      <c r="C72" s="3"/>
      <c r="D72" s="47"/>
      <c r="E72" s="3"/>
      <c r="F72" s="487"/>
      <c r="G72" s="3"/>
      <c r="H72" s="656"/>
      <c r="I72" s="3"/>
      <c r="J72" s="3"/>
      <c r="K72" s="3"/>
      <c r="L72" s="3"/>
      <c r="M72" s="3"/>
      <c r="N72" s="3"/>
      <c r="O72" s="3"/>
      <c r="P72" s="3"/>
    </row>
    <row r="73" spans="2:17" ht="18.75">
      <c r="B73" s="447" t="s">
        <v>471</v>
      </c>
      <c r="C73" s="6" t="s">
        <v>71</v>
      </c>
      <c r="D73" s="47"/>
      <c r="E73" s="3"/>
      <c r="F73" s="487"/>
      <c r="G73" s="3"/>
      <c r="H73" s="656"/>
      <c r="I73" s="3"/>
      <c r="J73" s="3"/>
      <c r="K73" s="3"/>
      <c r="L73" s="3"/>
      <c r="M73" s="3"/>
      <c r="N73" s="3"/>
      <c r="O73" s="3"/>
      <c r="P73" s="3"/>
    </row>
    <row r="74" spans="2:17">
      <c r="B74" s="3"/>
      <c r="C74" s="3"/>
      <c r="D74" s="47"/>
      <c r="E74" s="3"/>
      <c r="F74" s="487"/>
      <c r="G74" s="3"/>
      <c r="H74" s="656"/>
      <c r="I74" s="3"/>
      <c r="J74" s="3"/>
      <c r="K74" s="3"/>
      <c r="L74" s="3"/>
      <c r="M74" s="3"/>
      <c r="N74" s="3"/>
      <c r="O74" s="3"/>
      <c r="P74" s="3"/>
    </row>
    <row r="75" spans="2:17">
      <c r="B75" s="3"/>
      <c r="C75" s="3" t="str">
        <f>+"Average Transmission Plant Balance for "&amp;TCOS!L4&amp;" TCOS, ln "&amp;TCOS!B63</f>
        <v>Average Transmission Plant Balance for 2026 TCOS, ln 19</v>
      </c>
      <c r="D75" s="47"/>
      <c r="E75" s="3"/>
      <c r="F75" s="3"/>
      <c r="G75" s="342">
        <f>TCOS!L63</f>
        <v>162457315.9030177</v>
      </c>
      <c r="I75" s="3"/>
      <c r="J75" s="3"/>
      <c r="K75" s="501"/>
      <c r="L75" s="3"/>
      <c r="M75" s="3"/>
      <c r="N75" s="3"/>
      <c r="O75" s="3"/>
      <c r="P75" s="3"/>
    </row>
    <row r="76" spans="2:17">
      <c r="B76" s="3"/>
      <c r="C76" s="3" t="str">
        <f>"Annual Depreciation and Amortization Expense (TCOS, ln "&amp;TCOS!B161&amp;")"</f>
        <v>Annual Depreciation and Amortization Expense (TCOS, ln 83)</v>
      </c>
      <c r="D76" s="47"/>
      <c r="E76" s="3"/>
      <c r="G76" s="342">
        <f>TCOS!L161</f>
        <v>3818363.7367100799</v>
      </c>
      <c r="H76" s="488"/>
      <c r="I76" s="3"/>
      <c r="J76" s="3"/>
      <c r="K76" s="3"/>
      <c r="L76" s="3"/>
      <c r="M76" s="3"/>
      <c r="N76" s="3"/>
      <c r="O76" s="3"/>
      <c r="P76" s="3"/>
    </row>
    <row r="77" spans="2:17" ht="12.75" customHeight="1">
      <c r="B77" s="3"/>
      <c r="C77" s="3" t="s">
        <v>72</v>
      </c>
      <c r="D77" s="47"/>
      <c r="E77" s="3"/>
      <c r="G77" s="636">
        <f>G76/G75</f>
        <v>2.3503796769543651E-2</v>
      </c>
      <c r="H77" s="502"/>
      <c r="I77" s="1191" t="str">
        <f>"Note 1:  Until "&amp;A6&amp;" establishes Transmission plant in service the depreciation expense component of the carrying charge will be calculated as in the Operating Company formula approved in Docket No. ER08-1329.  The calculation for "&amp;A6&amp;" is shown on Worksheet P."</f>
        <v>Note 1:  Until AEP Kentucky Transmission Company establishes Transmission plant in service the depreciation expense component of the carrying charge will be calculated as in the Operating Company formula approved in Docket No. ER08-1329.  The calculation for AEP Kentucky Transmission Company is shown on Worksheet P.</v>
      </c>
      <c r="J77" s="1191"/>
      <c r="K77" s="1191"/>
      <c r="L77" s="1191"/>
      <c r="M77" s="1191"/>
      <c r="N77" s="1191"/>
      <c r="O77" s="1191"/>
      <c r="P77" s="448"/>
      <c r="Q77" s="448"/>
    </row>
    <row r="78" spans="2:17">
      <c r="B78" s="3"/>
      <c r="C78" s="3" t="s">
        <v>73</v>
      </c>
      <c r="D78" s="47"/>
      <c r="E78" s="3"/>
      <c r="G78" s="503">
        <f>IF(G77=0,0,1/G77)</f>
        <v>42.546317507978351</v>
      </c>
      <c r="H78" s="488"/>
      <c r="I78" s="1191"/>
      <c r="J78" s="1191"/>
      <c r="K78" s="1191"/>
      <c r="L78" s="1191"/>
      <c r="M78" s="1191"/>
      <c r="N78" s="1191"/>
      <c r="O78" s="1191"/>
      <c r="P78" s="448"/>
      <c r="Q78" s="448"/>
    </row>
    <row r="79" spans="2:17">
      <c r="B79" s="3"/>
      <c r="C79" s="3" t="s">
        <v>596</v>
      </c>
      <c r="D79" s="47"/>
      <c r="E79" s="3"/>
      <c r="G79" s="504">
        <f>ROUND(G78,0)</f>
        <v>43</v>
      </c>
      <c r="H79" s="488"/>
      <c r="I79" s="1191"/>
      <c r="J79" s="1191"/>
      <c r="K79" s="1191"/>
      <c r="L79" s="1191"/>
      <c r="M79" s="1191"/>
      <c r="N79" s="1191"/>
      <c r="O79" s="1191"/>
      <c r="P79" s="448"/>
      <c r="Q79" s="448"/>
    </row>
    <row r="80" spans="2:17">
      <c r="B80" s="3"/>
      <c r="C80" s="3"/>
      <c r="D80" s="47"/>
      <c r="E80" s="3"/>
      <c r="G80" s="504"/>
      <c r="H80" s="488"/>
      <c r="I80" s="1191"/>
      <c r="J80" s="1191"/>
      <c r="K80" s="1191"/>
      <c r="L80" s="1191"/>
      <c r="M80" s="1191"/>
      <c r="N80" s="1191"/>
      <c r="O80" s="1191"/>
    </row>
    <row r="81" spans="1:16">
      <c r="C81" s="505"/>
      <c r="D81" s="504"/>
      <c r="E81" s="504"/>
      <c r="F81" s="504"/>
      <c r="G81" s="501"/>
      <c r="H81" s="501"/>
    </row>
    <row r="82" spans="1:16" ht="20.25">
      <c r="A82" s="445" t="str">
        <f>""&amp;A6&amp;" Worksheet J -  ATRR PROJECTED Calculation for PJM Projects Charged to Benefiting Zones"</f>
        <v>AEP Kentucky Transmission Company Worksheet J -  ATRR PROJECTED Calculation for PJM Projects Charged to Benefiting Zones</v>
      </c>
      <c r="B82" s="3"/>
      <c r="C82" s="3"/>
      <c r="D82" s="47"/>
      <c r="E82" s="3"/>
      <c r="F82" s="487"/>
      <c r="G82" s="3"/>
      <c r="H82" s="488"/>
      <c r="K82" s="396"/>
      <c r="L82" s="396"/>
      <c r="M82" s="396"/>
      <c r="N82" s="396" t="str">
        <f>"Page "&amp;SUM(P$8:P82)&amp;" of "</f>
        <v xml:space="preserve">Page 2 of </v>
      </c>
      <c r="O82" s="446">
        <f>COUNT(P$8:P$56653)</f>
        <v>2</v>
      </c>
      <c r="P82" s="506">
        <v>1</v>
      </c>
    </row>
    <row r="83" spans="1:16">
      <c r="B83" s="3"/>
      <c r="C83" s="3"/>
      <c r="D83" s="47"/>
      <c r="E83" s="3"/>
      <c r="F83" s="3"/>
      <c r="G83" s="3"/>
      <c r="H83" s="488"/>
      <c r="I83" s="3"/>
      <c r="J83" s="3"/>
      <c r="K83" s="3"/>
      <c r="L83" s="3"/>
      <c r="M83" s="3"/>
      <c r="N83" s="3"/>
      <c r="O83" s="3"/>
      <c r="P83" s="3"/>
    </row>
    <row r="84" spans="1:16" ht="18">
      <c r="B84" s="447" t="s">
        <v>472</v>
      </c>
      <c r="C84" s="121" t="s">
        <v>93</v>
      </c>
      <c r="D84" s="47"/>
      <c r="E84" s="3"/>
      <c r="F84" s="3"/>
      <c r="G84" s="3"/>
      <c r="H84" s="488"/>
      <c r="I84" s="488"/>
      <c r="J84" s="501"/>
      <c r="K84" s="488"/>
      <c r="L84" s="488"/>
      <c r="M84" s="488"/>
      <c r="N84" s="488"/>
      <c r="O84" s="3"/>
    </row>
    <row r="85" spans="1:16" ht="18.75">
      <c r="B85" s="447"/>
      <c r="C85" s="6"/>
      <c r="D85" s="47"/>
      <c r="E85" s="3"/>
      <c r="F85" s="3"/>
      <c r="G85" s="3"/>
      <c r="H85" s="488"/>
      <c r="I85" s="488"/>
      <c r="J85" s="501"/>
      <c r="K85" s="488"/>
      <c r="L85" s="488"/>
      <c r="M85" s="488"/>
      <c r="N85" s="488"/>
      <c r="O85" s="3"/>
    </row>
    <row r="86" spans="1:16" ht="18.75">
      <c r="B86" s="447"/>
      <c r="C86" s="6" t="s">
        <v>94</v>
      </c>
      <c r="D86" s="47"/>
      <c r="E86" s="3"/>
      <c r="F86" s="3"/>
      <c r="G86" s="3"/>
      <c r="H86" s="488"/>
      <c r="I86" s="488"/>
      <c r="J86" s="501"/>
      <c r="K86" s="488"/>
      <c r="L86" s="488"/>
      <c r="M86" s="488"/>
      <c r="N86" s="488"/>
      <c r="O86" s="3"/>
    </row>
    <row r="87" spans="1:16" ht="15.75" thickBot="1">
      <c r="C87" s="130"/>
      <c r="D87" s="47"/>
      <c r="E87" s="3"/>
      <c r="F87" s="3"/>
      <c r="G87" s="3"/>
      <c r="H87" s="488"/>
      <c r="I87" s="488"/>
      <c r="J87" s="501"/>
      <c r="K87" s="488"/>
      <c r="L87" s="488"/>
      <c r="M87" s="488"/>
      <c r="N87" s="488"/>
      <c r="O87" s="3"/>
    </row>
    <row r="88" spans="1:16" ht="15.75">
      <c r="C88" s="449" t="s">
        <v>95</v>
      </c>
      <c r="D88" s="47"/>
      <c r="E88" s="3"/>
      <c r="F88" s="3"/>
      <c r="G88" s="564"/>
      <c r="H88" s="3" t="s">
        <v>74</v>
      </c>
      <c r="I88" s="3"/>
      <c r="J88" s="3"/>
      <c r="K88" s="507" t="s">
        <v>99</v>
      </c>
      <c r="L88" s="508"/>
      <c r="M88" s="509"/>
      <c r="N88" s="510">
        <f>IF(I94=0,0,VLOOKUP(I94,C101:O160,5))</f>
        <v>4688439.5797545481</v>
      </c>
      <c r="O88" s="3"/>
    </row>
    <row r="89" spans="1:16" ht="15.75">
      <c r="C89" s="449"/>
      <c r="D89" s="47"/>
      <c r="E89" s="3"/>
      <c r="F89" s="3"/>
      <c r="G89" s="3"/>
      <c r="H89" s="511"/>
      <c r="I89" s="511"/>
      <c r="J89" s="512"/>
      <c r="K89" s="513" t="s">
        <v>100</v>
      </c>
      <c r="L89" s="514"/>
      <c r="M89" s="3"/>
      <c r="N89" s="515">
        <f>IF(I94=0,0,VLOOKUP(I94,C101:O160,6))</f>
        <v>4688439.5797545481</v>
      </c>
      <c r="O89" s="3"/>
    </row>
    <row r="90" spans="1:16" ht="13.5" thickBot="1">
      <c r="C90" s="516" t="s">
        <v>96</v>
      </c>
      <c r="D90" s="1186" t="s">
        <v>808</v>
      </c>
      <c r="E90" s="1186"/>
      <c r="F90" s="1186"/>
      <c r="G90" s="1186"/>
      <c r="H90" s="1186"/>
      <c r="I90" s="1186"/>
      <c r="J90" s="501"/>
      <c r="K90" s="517" t="s">
        <v>238</v>
      </c>
      <c r="L90" s="518"/>
      <c r="M90" s="518"/>
      <c r="N90" s="519">
        <f>+N89-N88</f>
        <v>0</v>
      </c>
      <c r="O90" s="3"/>
    </row>
    <row r="91" spans="1:16">
      <c r="C91" s="520"/>
      <c r="D91" s="521"/>
      <c r="E91" s="504"/>
      <c r="F91" s="504"/>
      <c r="G91" s="522"/>
      <c r="H91" s="488"/>
      <c r="I91" s="488"/>
      <c r="J91" s="501"/>
      <c r="K91" s="488"/>
      <c r="L91" s="488"/>
      <c r="M91" s="488"/>
      <c r="N91" s="488"/>
      <c r="O91" s="3"/>
    </row>
    <row r="92" spans="1:16" ht="13.5" thickBot="1">
      <c r="C92" s="520"/>
      <c r="D92" s="3"/>
      <c r="E92" s="522"/>
      <c r="F92" s="522"/>
      <c r="G92" s="522"/>
      <c r="H92" s="522"/>
      <c r="I92" s="522"/>
      <c r="J92" s="522"/>
      <c r="K92" s="522"/>
      <c r="L92" s="522"/>
      <c r="M92" s="522"/>
      <c r="N92" s="522"/>
      <c r="O92" s="3"/>
    </row>
    <row r="93" spans="1:16" ht="13.5" thickBot="1">
      <c r="C93" s="523" t="s">
        <v>97</v>
      </c>
      <c r="D93" s="524"/>
      <c r="E93" s="524"/>
      <c r="F93" s="524"/>
      <c r="G93" s="524"/>
      <c r="H93" s="524"/>
      <c r="I93" s="525"/>
      <c r="K93" s="3"/>
      <c r="L93" s="3"/>
      <c r="M93" s="3"/>
      <c r="N93" s="3"/>
      <c r="O93" s="3"/>
    </row>
    <row r="94" spans="1:16" ht="15">
      <c r="C94" s="526" t="s">
        <v>75</v>
      </c>
      <c r="D94" s="566">
        <v>38021786.159999996</v>
      </c>
      <c r="E94" s="3" t="s">
        <v>76</v>
      </c>
      <c r="G94" s="47"/>
      <c r="H94" s="47"/>
      <c r="I94" s="527">
        <f>$L$26</f>
        <v>2026</v>
      </c>
      <c r="J94" s="70"/>
      <c r="K94" s="1188" t="s">
        <v>247</v>
      </c>
      <c r="L94" s="1188"/>
      <c r="M94" s="1188"/>
      <c r="N94" s="1188"/>
      <c r="O94" s="1188"/>
    </row>
    <row r="95" spans="1:16">
      <c r="C95" s="526" t="s">
        <v>78</v>
      </c>
      <c r="D95" s="567">
        <v>2016</v>
      </c>
      <c r="E95" s="526" t="s">
        <v>79</v>
      </c>
      <c r="F95" s="47"/>
      <c r="H95"/>
      <c r="I95" s="568">
        <f>IF(G88="",0,$F$17)</f>
        <v>0</v>
      </c>
      <c r="J95" s="528"/>
      <c r="K95" s="501" t="s">
        <v>247</v>
      </c>
    </row>
    <row r="96" spans="1:16">
      <c r="C96" s="526" t="s">
        <v>80</v>
      </c>
      <c r="D96" s="566">
        <v>6</v>
      </c>
      <c r="E96" s="526" t="s">
        <v>81</v>
      </c>
      <c r="F96" s="47"/>
      <c r="H96"/>
      <c r="I96" s="529">
        <f>$G$70</f>
        <v>0.13037271545595952</v>
      </c>
      <c r="J96" s="487"/>
      <c r="K96" t="str">
        <f>"          INPUT PROJECTED ARR (WITH &amp; WITHOUT INCENTIVES) FROM EACH PRIOR YEAR"</f>
        <v xml:space="preserve">          INPUT PROJECTED ARR (WITH &amp; WITHOUT INCENTIVES) FROM EACH PRIOR YEAR</v>
      </c>
    </row>
    <row r="97" spans="2:15">
      <c r="C97" s="526" t="s">
        <v>82</v>
      </c>
      <c r="D97" s="530">
        <f>$G$79</f>
        <v>43</v>
      </c>
      <c r="E97" s="526" t="s">
        <v>83</v>
      </c>
      <c r="F97" s="47"/>
      <c r="H97"/>
      <c r="I97" s="529">
        <f>IF(G88="",I96,$G$69)</f>
        <v>0.13037271545595952</v>
      </c>
      <c r="J97" s="487"/>
      <c r="K97" t="s">
        <v>160</v>
      </c>
    </row>
    <row r="98" spans="2:15" ht="13.5" thickBot="1">
      <c r="C98" s="526" t="s">
        <v>84</v>
      </c>
      <c r="D98" s="565" t="s">
        <v>809</v>
      </c>
      <c r="E98" s="531" t="s">
        <v>85</v>
      </c>
      <c r="F98" s="532"/>
      <c r="G98" s="533"/>
      <c r="H98" s="533"/>
      <c r="I98" s="519">
        <f>IF(D94=0,0,D94/D97)</f>
        <v>884227.58511627896</v>
      </c>
      <c r="J98" s="501"/>
      <c r="K98" s="501" t="s">
        <v>166</v>
      </c>
      <c r="L98" s="501"/>
      <c r="M98" s="501"/>
      <c r="N98" s="501"/>
      <c r="O98" s="3"/>
    </row>
    <row r="99" spans="2:15" ht="51">
      <c r="B99" s="448"/>
      <c r="C99" s="534" t="s">
        <v>75</v>
      </c>
      <c r="D99" s="535" t="s">
        <v>86</v>
      </c>
      <c r="E99" s="536" t="s">
        <v>87</v>
      </c>
      <c r="F99" s="535" t="s">
        <v>88</v>
      </c>
      <c r="G99" s="536" t="s">
        <v>159</v>
      </c>
      <c r="H99" s="537" t="s">
        <v>159</v>
      </c>
      <c r="I99" s="534" t="s">
        <v>98</v>
      </c>
      <c r="J99" s="538"/>
      <c r="K99" s="536" t="s">
        <v>168</v>
      </c>
      <c r="L99" s="539"/>
      <c r="M99" s="536" t="s">
        <v>168</v>
      </c>
      <c r="N99" s="539"/>
      <c r="O99" s="539"/>
    </row>
    <row r="100" spans="2:15" ht="13.5" thickBot="1">
      <c r="C100" s="540" t="s">
        <v>475</v>
      </c>
      <c r="D100" s="541" t="s">
        <v>476</v>
      </c>
      <c r="E100" s="540" t="s">
        <v>369</v>
      </c>
      <c r="F100" s="541" t="s">
        <v>476</v>
      </c>
      <c r="G100" s="542" t="s">
        <v>101</v>
      </c>
      <c r="H100" s="543" t="s">
        <v>103</v>
      </c>
      <c r="I100" s="540" t="s">
        <v>15</v>
      </c>
      <c r="J100" s="544"/>
      <c r="K100" s="542" t="s">
        <v>90</v>
      </c>
      <c r="L100" s="545"/>
      <c r="M100" s="542" t="s">
        <v>103</v>
      </c>
      <c r="N100" s="545"/>
      <c r="O100" s="545"/>
    </row>
    <row r="101" spans="2:15">
      <c r="C101" s="546">
        <f>IF(D95= "","-",D95)</f>
        <v>2016</v>
      </c>
      <c r="D101" s="504">
        <f>+D94</f>
        <v>38021786.159999996</v>
      </c>
      <c r="E101" s="547">
        <f>+I98/12*(12-D96)</f>
        <v>442113.79255813948</v>
      </c>
      <c r="F101" s="504">
        <f>+D101-E101</f>
        <v>37579672.367441855</v>
      </c>
      <c r="G101" s="689">
        <f>+$I$96*((D101+F101)/2)+E101</f>
        <v>5370297.5128849903</v>
      </c>
      <c r="H101" s="690">
        <f>$I$97*((D101+F101)/2)+E101</f>
        <v>5370297.5128849903</v>
      </c>
      <c r="I101" s="550">
        <f>+H101-G101</f>
        <v>0</v>
      </c>
      <c r="J101" s="550"/>
      <c r="K101" s="569">
        <v>3748292</v>
      </c>
      <c r="L101" s="551"/>
      <c r="M101" s="569">
        <v>3748292</v>
      </c>
      <c r="N101" s="551"/>
      <c r="O101" s="551"/>
    </row>
    <row r="102" spans="2:15">
      <c r="C102" s="546">
        <f>IF(D95="","-",+C101+1)</f>
        <v>2017</v>
      </c>
      <c r="D102" s="504">
        <f t="shared" ref="D102:D160" si="0">F101</f>
        <v>37579672.367441855</v>
      </c>
      <c r="E102" s="547">
        <f>IF(D102&gt;$I$98,$I$98,D102)</f>
        <v>884227.58511627896</v>
      </c>
      <c r="F102" s="504">
        <f t="shared" ref="F102:F160" si="1">+D102-E102</f>
        <v>36695444.782325573</v>
      </c>
      <c r="G102" s="552">
        <f t="shared" ref="G102:G160" si="2">+$I$96*((D102+F102)/2)+E102</f>
        <v>5725951.9419286232</v>
      </c>
      <c r="H102" s="553">
        <f t="shared" ref="H102:H160" si="3">$I$97*((D102+F102)/2)+E102</f>
        <v>5725951.9419286232</v>
      </c>
      <c r="I102" s="550">
        <f t="shared" ref="I102:I160" si="4">+H102-G102</f>
        <v>0</v>
      </c>
      <c r="J102" s="550"/>
      <c r="K102" s="570">
        <v>5097838</v>
      </c>
      <c r="L102" s="554"/>
      <c r="M102" s="570">
        <v>5097838</v>
      </c>
      <c r="N102" s="554"/>
      <c r="O102" s="554"/>
    </row>
    <row r="103" spans="2:15">
      <c r="C103" s="965">
        <f>IF(D95="","-",+C102+1)</f>
        <v>2018</v>
      </c>
      <c r="D103" s="504">
        <f t="shared" si="0"/>
        <v>36695444.782325573</v>
      </c>
      <c r="E103" s="547">
        <f t="shared" ref="E103:E160" si="5">IF(D103&gt;$I$98,$I$98,D103)</f>
        <v>884227.58511627896</v>
      </c>
      <c r="F103" s="504">
        <f t="shared" si="1"/>
        <v>35811217.197209291</v>
      </c>
      <c r="G103" s="552">
        <f t="shared" si="2"/>
        <v>5610672.7905759476</v>
      </c>
      <c r="H103" s="553">
        <f t="shared" si="3"/>
        <v>5610672.7905759476</v>
      </c>
      <c r="I103" s="550">
        <f t="shared" si="4"/>
        <v>0</v>
      </c>
      <c r="J103" s="550"/>
      <c r="K103" s="570">
        <v>4201672</v>
      </c>
      <c r="L103" s="554"/>
      <c r="M103" s="570">
        <v>4201672</v>
      </c>
      <c r="N103" s="554"/>
      <c r="O103" s="554"/>
    </row>
    <row r="104" spans="2:15">
      <c r="C104" s="965">
        <f>IF(D95="","-",+C103+1)</f>
        <v>2019</v>
      </c>
      <c r="D104" s="504">
        <f t="shared" si="0"/>
        <v>35811217.197209291</v>
      </c>
      <c r="E104" s="547">
        <f t="shared" si="5"/>
        <v>884227.58511627896</v>
      </c>
      <c r="F104" s="504">
        <f t="shared" si="1"/>
        <v>34926989.612093009</v>
      </c>
      <c r="G104" s="552">
        <f t="shared" si="2"/>
        <v>5495393.6392232729</v>
      </c>
      <c r="H104" s="553">
        <f t="shared" si="3"/>
        <v>5495393.6392232729</v>
      </c>
      <c r="I104" s="550">
        <f t="shared" si="4"/>
        <v>0</v>
      </c>
      <c r="J104" s="550"/>
      <c r="K104" s="570">
        <v>4412110.5761476783</v>
      </c>
      <c r="L104" s="554"/>
      <c r="M104" s="570">
        <v>4412110.5761476783</v>
      </c>
      <c r="N104" s="554"/>
      <c r="O104" s="554"/>
    </row>
    <row r="105" spans="2:15">
      <c r="C105" s="965">
        <f>IF(D95="","-",+C104+1)</f>
        <v>2020</v>
      </c>
      <c r="D105" s="504">
        <f t="shared" si="0"/>
        <v>34926989.612093009</v>
      </c>
      <c r="E105" s="547">
        <f t="shared" si="5"/>
        <v>884227.58511627896</v>
      </c>
      <c r="F105" s="504">
        <f t="shared" si="1"/>
        <v>34042762.026976727</v>
      </c>
      <c r="G105" s="552">
        <f t="shared" si="2"/>
        <v>5380114.4878705973</v>
      </c>
      <c r="H105" s="553">
        <f t="shared" si="3"/>
        <v>5380114.4878705973</v>
      </c>
      <c r="I105" s="550">
        <f t="shared" si="4"/>
        <v>0</v>
      </c>
      <c r="J105" s="550"/>
      <c r="K105" s="570">
        <v>4517755.936000254</v>
      </c>
      <c r="L105" s="554"/>
      <c r="M105" s="570">
        <v>4517755.936000254</v>
      </c>
      <c r="N105" s="554"/>
      <c r="O105" s="554"/>
    </row>
    <row r="106" spans="2:15">
      <c r="C106" s="965">
        <f>IF(D95="","-",+C105+1)</f>
        <v>2021</v>
      </c>
      <c r="D106" s="504">
        <f t="shared" si="0"/>
        <v>34042762.026976727</v>
      </c>
      <c r="E106" s="547">
        <f t="shared" si="5"/>
        <v>884227.58511627896</v>
      </c>
      <c r="F106" s="504">
        <f t="shared" si="1"/>
        <v>33158534.441860449</v>
      </c>
      <c r="G106" s="552">
        <f t="shared" si="2"/>
        <v>5264835.3365179226</v>
      </c>
      <c r="H106" s="553">
        <f t="shared" si="3"/>
        <v>5264835.3365179226</v>
      </c>
      <c r="I106" s="550">
        <f t="shared" si="4"/>
        <v>0</v>
      </c>
      <c r="J106" s="550"/>
      <c r="K106" s="570">
        <v>4259250.911997051</v>
      </c>
      <c r="L106" s="554"/>
      <c r="M106" s="570">
        <v>4259250.911997051</v>
      </c>
      <c r="N106" s="554"/>
      <c r="O106" s="554"/>
    </row>
    <row r="107" spans="2:15">
      <c r="C107" s="546">
        <f>IF(D95="","-",+C106+1)</f>
        <v>2022</v>
      </c>
      <c r="D107" s="504">
        <f t="shared" si="0"/>
        <v>33158534.441860449</v>
      </c>
      <c r="E107" s="547">
        <f t="shared" si="5"/>
        <v>884227.58511627896</v>
      </c>
      <c r="F107" s="504">
        <f t="shared" si="1"/>
        <v>32274306.85674417</v>
      </c>
      <c r="G107" s="552">
        <f t="shared" si="2"/>
        <v>5149556.1851652479</v>
      </c>
      <c r="H107" s="553">
        <f t="shared" si="3"/>
        <v>5149556.1851652479</v>
      </c>
      <c r="I107" s="550">
        <f t="shared" si="4"/>
        <v>0</v>
      </c>
      <c r="J107" s="550"/>
      <c r="K107" s="570">
        <v>5113210.3419878734</v>
      </c>
      <c r="L107" s="554"/>
      <c r="M107" s="570">
        <v>5113210.3419878734</v>
      </c>
      <c r="N107" s="554"/>
      <c r="O107" s="554"/>
    </row>
    <row r="108" spans="2:15">
      <c r="C108" s="546">
        <f>IF(D95="","-",+C107+1)</f>
        <v>2023</v>
      </c>
      <c r="D108" s="504">
        <f t="shared" si="0"/>
        <v>32274306.85674417</v>
      </c>
      <c r="E108" s="547">
        <f t="shared" si="5"/>
        <v>884227.58511627896</v>
      </c>
      <c r="F108" s="504">
        <f t="shared" si="1"/>
        <v>31390079.271627892</v>
      </c>
      <c r="G108" s="552">
        <f t="shared" si="2"/>
        <v>5034277.0338125722</v>
      </c>
      <c r="H108" s="553">
        <f t="shared" si="3"/>
        <v>5034277.0338125722</v>
      </c>
      <c r="I108" s="550">
        <f t="shared" si="4"/>
        <v>0</v>
      </c>
      <c r="J108" s="550"/>
      <c r="K108" s="570">
        <v>5001392.4777250346</v>
      </c>
      <c r="L108" s="554"/>
      <c r="M108" s="570">
        <v>5001392.4777250346</v>
      </c>
      <c r="N108" s="554"/>
      <c r="O108" s="554"/>
    </row>
    <row r="109" spans="2:15">
      <c r="C109" s="546">
        <f>IF(D95="","-",+C108+1)</f>
        <v>2024</v>
      </c>
      <c r="D109" s="504">
        <f t="shared" si="0"/>
        <v>31390079.271627892</v>
      </c>
      <c r="E109" s="547">
        <f t="shared" si="5"/>
        <v>884227.58511627896</v>
      </c>
      <c r="F109" s="504">
        <f t="shared" si="1"/>
        <v>30505851.686511613</v>
      </c>
      <c r="G109" s="552">
        <f t="shared" si="2"/>
        <v>4918997.8824598985</v>
      </c>
      <c r="H109" s="553">
        <f t="shared" si="3"/>
        <v>4918997.8824598985</v>
      </c>
      <c r="I109" s="550">
        <f t="shared" si="4"/>
        <v>0</v>
      </c>
      <c r="J109" s="550"/>
      <c r="K109" s="570">
        <v>4876605.2974782176</v>
      </c>
      <c r="L109" s="554"/>
      <c r="M109" s="570">
        <v>4876605.2974782176</v>
      </c>
      <c r="N109" s="554"/>
      <c r="O109" s="554"/>
    </row>
    <row r="110" spans="2:15">
      <c r="C110" s="546">
        <f>IF(D95="","-",+C109+1)</f>
        <v>2025</v>
      </c>
      <c r="D110" s="504">
        <f t="shared" si="0"/>
        <v>30505851.686511613</v>
      </c>
      <c r="E110" s="547">
        <f t="shared" si="5"/>
        <v>884227.58511627896</v>
      </c>
      <c r="F110" s="504">
        <f t="shared" si="1"/>
        <v>29621624.101395335</v>
      </c>
      <c r="G110" s="552">
        <f t="shared" si="2"/>
        <v>4803718.7311072228</v>
      </c>
      <c r="H110" s="553">
        <f t="shared" si="3"/>
        <v>4803718.7311072228</v>
      </c>
      <c r="I110" s="550">
        <f t="shared" si="4"/>
        <v>0</v>
      </c>
      <c r="J110" s="550"/>
      <c r="K110" s="570">
        <v>4764985.4899237761</v>
      </c>
      <c r="L110" s="554"/>
      <c r="M110" s="570">
        <v>4764985.4899237761</v>
      </c>
      <c r="N110" s="554"/>
      <c r="O110" s="554"/>
    </row>
    <row r="111" spans="2:15">
      <c r="C111" s="919">
        <f>IF(D95="","-",+C110+1)</f>
        <v>2026</v>
      </c>
      <c r="D111" s="504">
        <f t="shared" si="0"/>
        <v>29621624.101395335</v>
      </c>
      <c r="E111" s="547">
        <f t="shared" si="5"/>
        <v>884227.58511627896</v>
      </c>
      <c r="F111" s="504">
        <f t="shared" si="1"/>
        <v>28737396.516279057</v>
      </c>
      <c r="G111" s="552">
        <f t="shared" si="2"/>
        <v>4688439.5797545481</v>
      </c>
      <c r="H111" s="553">
        <f t="shared" si="3"/>
        <v>4688439.5797545481</v>
      </c>
      <c r="I111" s="550">
        <f t="shared" si="4"/>
        <v>0</v>
      </c>
      <c r="J111" s="550"/>
      <c r="K111" s="570"/>
      <c r="L111" s="554"/>
      <c r="M111" s="570"/>
      <c r="N111" s="554"/>
      <c r="O111" s="554"/>
    </row>
    <row r="112" spans="2:15">
      <c r="C112" s="546">
        <f>IF(D95="","-",+C111+1)</f>
        <v>2027</v>
      </c>
      <c r="D112" s="504">
        <f t="shared" si="0"/>
        <v>28737396.516279057</v>
      </c>
      <c r="E112" s="547">
        <f t="shared" si="5"/>
        <v>884227.58511627896</v>
      </c>
      <c r="F112" s="504">
        <f t="shared" si="1"/>
        <v>27853168.931162778</v>
      </c>
      <c r="G112" s="552">
        <f t="shared" si="2"/>
        <v>4573160.4284018734</v>
      </c>
      <c r="H112" s="553">
        <f t="shared" si="3"/>
        <v>4573160.4284018734</v>
      </c>
      <c r="I112" s="550">
        <f t="shared" si="4"/>
        <v>0</v>
      </c>
      <c r="J112" s="550"/>
      <c r="K112" s="570"/>
      <c r="L112" s="554"/>
      <c r="M112" s="570"/>
      <c r="N112" s="554"/>
      <c r="O112" s="554"/>
    </row>
    <row r="113" spans="3:15">
      <c r="C113" s="546">
        <f>IF(D95="","-",+C112+1)</f>
        <v>2028</v>
      </c>
      <c r="D113" s="504">
        <f t="shared" si="0"/>
        <v>27853168.931162778</v>
      </c>
      <c r="E113" s="547">
        <f t="shared" si="5"/>
        <v>884227.58511627896</v>
      </c>
      <c r="F113" s="504">
        <f t="shared" si="1"/>
        <v>26968941.3460465</v>
      </c>
      <c r="G113" s="552">
        <f t="shared" si="2"/>
        <v>4457881.2770491987</v>
      </c>
      <c r="H113" s="553">
        <f t="shared" si="3"/>
        <v>4457881.2770491987</v>
      </c>
      <c r="I113" s="550">
        <f t="shared" si="4"/>
        <v>0</v>
      </c>
      <c r="J113" s="550"/>
      <c r="K113" s="570"/>
      <c r="L113" s="554"/>
      <c r="M113" s="570"/>
      <c r="N113" s="555"/>
      <c r="O113" s="554"/>
    </row>
    <row r="114" spans="3:15">
      <c r="C114" s="546">
        <f>IF(D95="","-",+C113+1)</f>
        <v>2029</v>
      </c>
      <c r="D114" s="504">
        <f t="shared" si="0"/>
        <v>26968941.3460465</v>
      </c>
      <c r="E114" s="547">
        <f t="shared" si="5"/>
        <v>884227.58511627896</v>
      </c>
      <c r="F114" s="504">
        <f t="shared" si="1"/>
        <v>26084713.760930222</v>
      </c>
      <c r="G114" s="552">
        <f t="shared" si="2"/>
        <v>4342602.125696524</v>
      </c>
      <c r="H114" s="553">
        <f t="shared" si="3"/>
        <v>4342602.125696524</v>
      </c>
      <c r="I114" s="550">
        <f t="shared" si="4"/>
        <v>0</v>
      </c>
      <c r="J114" s="550"/>
      <c r="K114" s="570"/>
      <c r="L114" s="554"/>
      <c r="M114" s="570"/>
      <c r="N114" s="554"/>
      <c r="O114" s="554"/>
    </row>
    <row r="115" spans="3:15">
      <c r="C115" s="546">
        <f>IF(D95="","-",+C114+1)</f>
        <v>2030</v>
      </c>
      <c r="D115" s="504">
        <f t="shared" si="0"/>
        <v>26084713.760930222</v>
      </c>
      <c r="E115" s="547">
        <f t="shared" si="5"/>
        <v>884227.58511627896</v>
      </c>
      <c r="F115" s="504">
        <f t="shared" si="1"/>
        <v>25200486.175813943</v>
      </c>
      <c r="G115" s="552">
        <f t="shared" si="2"/>
        <v>4227322.9743438493</v>
      </c>
      <c r="H115" s="553">
        <f t="shared" si="3"/>
        <v>4227322.9743438493</v>
      </c>
      <c r="I115" s="550">
        <f t="shared" si="4"/>
        <v>0</v>
      </c>
      <c r="J115" s="550"/>
      <c r="K115" s="570"/>
      <c r="L115" s="554"/>
      <c r="M115" s="570"/>
      <c r="N115" s="554"/>
      <c r="O115" s="554"/>
    </row>
    <row r="116" spans="3:15">
      <c r="C116" s="546">
        <f>IF(D95="","-",+C115+1)</f>
        <v>2031</v>
      </c>
      <c r="D116" s="504">
        <f t="shared" si="0"/>
        <v>25200486.175813943</v>
      </c>
      <c r="E116" s="547">
        <f t="shared" si="5"/>
        <v>884227.58511627896</v>
      </c>
      <c r="F116" s="504">
        <f t="shared" si="1"/>
        <v>24316258.590697665</v>
      </c>
      <c r="G116" s="552">
        <f t="shared" si="2"/>
        <v>4112043.8229911737</v>
      </c>
      <c r="H116" s="553">
        <f t="shared" si="3"/>
        <v>4112043.8229911737</v>
      </c>
      <c r="I116" s="550">
        <f t="shared" si="4"/>
        <v>0</v>
      </c>
      <c r="J116" s="550"/>
      <c r="K116" s="570"/>
      <c r="L116" s="554"/>
      <c r="M116" s="570"/>
      <c r="N116" s="554"/>
      <c r="O116" s="554"/>
    </row>
    <row r="117" spans="3:15">
      <c r="C117" s="546">
        <f>IF(D95="","-",+C116+1)</f>
        <v>2032</v>
      </c>
      <c r="D117" s="504">
        <f t="shared" si="0"/>
        <v>24316258.590697665</v>
      </c>
      <c r="E117" s="547">
        <f t="shared" si="5"/>
        <v>884227.58511627896</v>
      </c>
      <c r="F117" s="504">
        <f t="shared" si="1"/>
        <v>23432031.005581386</v>
      </c>
      <c r="G117" s="552">
        <f t="shared" si="2"/>
        <v>3996764.6716384995</v>
      </c>
      <c r="H117" s="553">
        <f t="shared" si="3"/>
        <v>3996764.6716384995</v>
      </c>
      <c r="I117" s="550">
        <f t="shared" si="4"/>
        <v>0</v>
      </c>
      <c r="J117" s="550"/>
      <c r="K117" s="570"/>
      <c r="L117" s="554"/>
      <c r="M117" s="570"/>
      <c r="N117" s="554"/>
      <c r="O117" s="554"/>
    </row>
    <row r="118" spans="3:15">
      <c r="C118" s="546">
        <f>IF(D95="","-",+C117+1)</f>
        <v>2033</v>
      </c>
      <c r="D118" s="504">
        <f t="shared" si="0"/>
        <v>23432031.005581386</v>
      </c>
      <c r="E118" s="547">
        <f t="shared" si="5"/>
        <v>884227.58511627896</v>
      </c>
      <c r="F118" s="504">
        <f t="shared" si="1"/>
        <v>22547803.420465108</v>
      </c>
      <c r="G118" s="552">
        <f t="shared" si="2"/>
        <v>3881485.5202858243</v>
      </c>
      <c r="H118" s="553">
        <f t="shared" si="3"/>
        <v>3881485.5202858243</v>
      </c>
      <c r="I118" s="550">
        <f t="shared" si="4"/>
        <v>0</v>
      </c>
      <c r="J118" s="550"/>
      <c r="K118" s="570"/>
      <c r="L118" s="554"/>
      <c r="M118" s="570"/>
      <c r="N118" s="554"/>
      <c r="O118" s="554"/>
    </row>
    <row r="119" spans="3:15">
      <c r="C119" s="546">
        <f>IF(D95="","-",+C118+1)</f>
        <v>2034</v>
      </c>
      <c r="D119" s="504">
        <f t="shared" si="0"/>
        <v>22547803.420465108</v>
      </c>
      <c r="E119" s="547">
        <f t="shared" si="5"/>
        <v>884227.58511627896</v>
      </c>
      <c r="F119" s="504">
        <f t="shared" si="1"/>
        <v>21663575.83534883</v>
      </c>
      <c r="G119" s="552">
        <f t="shared" si="2"/>
        <v>3766206.3689331501</v>
      </c>
      <c r="H119" s="553">
        <f t="shared" si="3"/>
        <v>3766206.3689331501</v>
      </c>
      <c r="I119" s="550">
        <f t="shared" si="4"/>
        <v>0</v>
      </c>
      <c r="J119" s="550"/>
      <c r="K119" s="570"/>
      <c r="L119" s="554"/>
      <c r="M119" s="570"/>
      <c r="N119" s="554"/>
      <c r="O119" s="554"/>
    </row>
    <row r="120" spans="3:15">
      <c r="C120" s="546">
        <f>IF(D95="","-",+C119+1)</f>
        <v>2035</v>
      </c>
      <c r="D120" s="504">
        <f t="shared" si="0"/>
        <v>21663575.83534883</v>
      </c>
      <c r="E120" s="547">
        <f t="shared" si="5"/>
        <v>884227.58511627896</v>
      </c>
      <c r="F120" s="504">
        <f t="shared" si="1"/>
        <v>20779348.250232551</v>
      </c>
      <c r="G120" s="552">
        <f t="shared" si="2"/>
        <v>3650927.2175804749</v>
      </c>
      <c r="H120" s="553">
        <f t="shared" si="3"/>
        <v>3650927.2175804749</v>
      </c>
      <c r="I120" s="550">
        <f t="shared" si="4"/>
        <v>0</v>
      </c>
      <c r="J120" s="550"/>
      <c r="K120" s="570"/>
      <c r="L120" s="554"/>
      <c r="M120" s="570"/>
      <c r="N120" s="554"/>
      <c r="O120" s="554"/>
    </row>
    <row r="121" spans="3:15">
      <c r="C121" s="546">
        <f>IF(D95="","-",+C120+1)</f>
        <v>2036</v>
      </c>
      <c r="D121" s="504">
        <f t="shared" si="0"/>
        <v>20779348.250232551</v>
      </c>
      <c r="E121" s="547">
        <f t="shared" si="5"/>
        <v>884227.58511627896</v>
      </c>
      <c r="F121" s="504">
        <f t="shared" si="1"/>
        <v>19895120.665116273</v>
      </c>
      <c r="G121" s="552">
        <f t="shared" si="2"/>
        <v>3535648.0662278002</v>
      </c>
      <c r="H121" s="553">
        <f t="shared" si="3"/>
        <v>3535648.0662278002</v>
      </c>
      <c r="I121" s="550">
        <f t="shared" si="4"/>
        <v>0</v>
      </c>
      <c r="J121" s="550"/>
      <c r="K121" s="570"/>
      <c r="L121" s="554"/>
      <c r="M121" s="570"/>
      <c r="N121" s="554"/>
      <c r="O121" s="554"/>
    </row>
    <row r="122" spans="3:15">
      <c r="C122" s="546">
        <f>IF(D95="","-",+C121+1)</f>
        <v>2037</v>
      </c>
      <c r="D122" s="504">
        <f t="shared" si="0"/>
        <v>19895120.665116273</v>
      </c>
      <c r="E122" s="547">
        <f t="shared" si="5"/>
        <v>884227.58511627896</v>
      </c>
      <c r="F122" s="504">
        <f t="shared" si="1"/>
        <v>19010893.079999994</v>
      </c>
      <c r="G122" s="552">
        <f t="shared" si="2"/>
        <v>3420368.914875125</v>
      </c>
      <c r="H122" s="553">
        <f t="shared" si="3"/>
        <v>3420368.914875125</v>
      </c>
      <c r="I122" s="550">
        <f t="shared" si="4"/>
        <v>0</v>
      </c>
      <c r="J122" s="550"/>
      <c r="K122" s="570"/>
      <c r="L122" s="554"/>
      <c r="M122" s="570"/>
      <c r="N122" s="554"/>
      <c r="O122" s="554"/>
    </row>
    <row r="123" spans="3:15">
      <c r="C123" s="546">
        <f>IF(D95="","-",+C122+1)</f>
        <v>2038</v>
      </c>
      <c r="D123" s="504">
        <f t="shared" si="0"/>
        <v>19010893.079999994</v>
      </c>
      <c r="E123" s="547">
        <f t="shared" si="5"/>
        <v>884227.58511627896</v>
      </c>
      <c r="F123" s="504">
        <f t="shared" si="1"/>
        <v>18126665.494883716</v>
      </c>
      <c r="G123" s="552">
        <f t="shared" si="2"/>
        <v>3305089.7635224508</v>
      </c>
      <c r="H123" s="553">
        <f t="shared" si="3"/>
        <v>3305089.7635224508</v>
      </c>
      <c r="I123" s="550">
        <f t="shared" si="4"/>
        <v>0</v>
      </c>
      <c r="J123" s="550"/>
      <c r="K123" s="570"/>
      <c r="L123" s="554"/>
      <c r="M123" s="570"/>
      <c r="N123" s="554"/>
      <c r="O123" s="554"/>
    </row>
    <row r="124" spans="3:15">
      <c r="C124" s="546">
        <f>IF(D95="","-",+C123+1)</f>
        <v>2039</v>
      </c>
      <c r="D124" s="504">
        <f t="shared" si="0"/>
        <v>18126665.494883716</v>
      </c>
      <c r="E124" s="547">
        <f t="shared" si="5"/>
        <v>884227.58511627896</v>
      </c>
      <c r="F124" s="504">
        <f t="shared" si="1"/>
        <v>17242437.909767438</v>
      </c>
      <c r="G124" s="552">
        <f t="shared" si="2"/>
        <v>3189810.6121697756</v>
      </c>
      <c r="H124" s="553">
        <f t="shared" si="3"/>
        <v>3189810.6121697756</v>
      </c>
      <c r="I124" s="550">
        <f t="shared" si="4"/>
        <v>0</v>
      </c>
      <c r="J124" s="550"/>
      <c r="K124" s="570"/>
      <c r="L124" s="554"/>
      <c r="M124" s="570"/>
      <c r="N124" s="554"/>
      <c r="O124" s="554"/>
    </row>
    <row r="125" spans="3:15">
      <c r="C125" s="546">
        <f>IF(D95="","-",+C124+1)</f>
        <v>2040</v>
      </c>
      <c r="D125" s="504">
        <f t="shared" si="0"/>
        <v>17242437.909767438</v>
      </c>
      <c r="E125" s="547">
        <f t="shared" si="5"/>
        <v>884227.58511627896</v>
      </c>
      <c r="F125" s="504">
        <f t="shared" si="1"/>
        <v>16358210.324651159</v>
      </c>
      <c r="G125" s="552">
        <f t="shared" si="2"/>
        <v>3074531.4608171014</v>
      </c>
      <c r="H125" s="553">
        <f t="shared" si="3"/>
        <v>3074531.4608171014</v>
      </c>
      <c r="I125" s="550">
        <f t="shared" si="4"/>
        <v>0</v>
      </c>
      <c r="J125" s="550"/>
      <c r="K125" s="570"/>
      <c r="L125" s="554"/>
      <c r="M125" s="570"/>
      <c r="N125" s="554"/>
      <c r="O125" s="554"/>
    </row>
    <row r="126" spans="3:15">
      <c r="C126" s="546">
        <f>IF(D95="","-",+C125+1)</f>
        <v>2041</v>
      </c>
      <c r="D126" s="504">
        <f t="shared" si="0"/>
        <v>16358210.324651159</v>
      </c>
      <c r="E126" s="547">
        <f t="shared" si="5"/>
        <v>884227.58511627896</v>
      </c>
      <c r="F126" s="504">
        <f t="shared" si="1"/>
        <v>15473982.739534881</v>
      </c>
      <c r="G126" s="552">
        <f t="shared" si="2"/>
        <v>2959252.3094644262</v>
      </c>
      <c r="H126" s="553">
        <f t="shared" si="3"/>
        <v>2959252.3094644262</v>
      </c>
      <c r="I126" s="550">
        <f t="shared" si="4"/>
        <v>0</v>
      </c>
      <c r="J126" s="550"/>
      <c r="K126" s="570"/>
      <c r="L126" s="554"/>
      <c r="M126" s="570"/>
      <c r="N126" s="554"/>
      <c r="O126" s="554"/>
    </row>
    <row r="127" spans="3:15">
      <c r="C127" s="546">
        <f>IF(D95="","-",+C126+1)</f>
        <v>2042</v>
      </c>
      <c r="D127" s="504">
        <f t="shared" si="0"/>
        <v>15473982.739534881</v>
      </c>
      <c r="E127" s="547">
        <f t="shared" si="5"/>
        <v>884227.58511627896</v>
      </c>
      <c r="F127" s="504">
        <f t="shared" si="1"/>
        <v>14589755.154418603</v>
      </c>
      <c r="G127" s="552">
        <f t="shared" si="2"/>
        <v>2843973.1581117515</v>
      </c>
      <c r="H127" s="553">
        <f t="shared" si="3"/>
        <v>2843973.1581117515</v>
      </c>
      <c r="I127" s="550">
        <f t="shared" si="4"/>
        <v>0</v>
      </c>
      <c r="J127" s="550"/>
      <c r="K127" s="570"/>
      <c r="L127" s="554"/>
      <c r="M127" s="570"/>
      <c r="N127" s="554"/>
      <c r="O127" s="554"/>
    </row>
    <row r="128" spans="3:15">
      <c r="C128" s="546">
        <f>IF(D95="","-",+C127+1)</f>
        <v>2043</v>
      </c>
      <c r="D128" s="504">
        <f t="shared" si="0"/>
        <v>14589755.154418603</v>
      </c>
      <c r="E128" s="547">
        <f t="shared" si="5"/>
        <v>884227.58511627896</v>
      </c>
      <c r="F128" s="504">
        <f t="shared" si="1"/>
        <v>13705527.569302324</v>
      </c>
      <c r="G128" s="552">
        <f t="shared" si="2"/>
        <v>2728694.0067590768</v>
      </c>
      <c r="H128" s="553">
        <f t="shared" si="3"/>
        <v>2728694.0067590768</v>
      </c>
      <c r="I128" s="550">
        <f t="shared" si="4"/>
        <v>0</v>
      </c>
      <c r="J128" s="550"/>
      <c r="K128" s="570"/>
      <c r="L128" s="554"/>
      <c r="M128" s="570"/>
      <c r="N128" s="554"/>
      <c r="O128" s="554"/>
    </row>
    <row r="129" spans="3:15">
      <c r="C129" s="546">
        <f>IF(D95="","-",+C128+1)</f>
        <v>2044</v>
      </c>
      <c r="D129" s="504">
        <f t="shared" si="0"/>
        <v>13705527.569302324</v>
      </c>
      <c r="E129" s="547">
        <f t="shared" si="5"/>
        <v>884227.58511627896</v>
      </c>
      <c r="F129" s="504">
        <f t="shared" si="1"/>
        <v>12821299.984186046</v>
      </c>
      <c r="G129" s="548">
        <f t="shared" si="2"/>
        <v>2613414.8554064021</v>
      </c>
      <c r="H129" s="553">
        <f t="shared" si="3"/>
        <v>2613414.8554064021</v>
      </c>
      <c r="I129" s="550">
        <f t="shared" si="4"/>
        <v>0</v>
      </c>
      <c r="J129" s="550"/>
      <c r="K129" s="570"/>
      <c r="L129" s="554"/>
      <c r="M129" s="570"/>
      <c r="N129" s="554"/>
      <c r="O129" s="554"/>
    </row>
    <row r="130" spans="3:15">
      <c r="C130" s="546">
        <f>IF(D95="","-",+C129+1)</f>
        <v>2045</v>
      </c>
      <c r="D130" s="504">
        <f t="shared" si="0"/>
        <v>12821299.984186046</v>
      </c>
      <c r="E130" s="547">
        <f t="shared" si="5"/>
        <v>884227.58511627896</v>
      </c>
      <c r="F130" s="504">
        <f t="shared" si="1"/>
        <v>11937072.399069767</v>
      </c>
      <c r="G130" s="552">
        <f t="shared" si="2"/>
        <v>2498135.7040537274</v>
      </c>
      <c r="H130" s="553">
        <f t="shared" si="3"/>
        <v>2498135.7040537274</v>
      </c>
      <c r="I130" s="550">
        <f t="shared" si="4"/>
        <v>0</v>
      </c>
      <c r="J130" s="550"/>
      <c r="K130" s="570"/>
      <c r="L130" s="554"/>
      <c r="M130" s="570"/>
      <c r="N130" s="554"/>
      <c r="O130" s="554"/>
    </row>
    <row r="131" spans="3:15">
      <c r="C131" s="546">
        <f>IF(D95="","-",+C130+1)</f>
        <v>2046</v>
      </c>
      <c r="D131" s="504">
        <f t="shared" si="0"/>
        <v>11937072.399069767</v>
      </c>
      <c r="E131" s="547">
        <f t="shared" si="5"/>
        <v>884227.58511627896</v>
      </c>
      <c r="F131" s="504">
        <f t="shared" si="1"/>
        <v>11052844.813953489</v>
      </c>
      <c r="G131" s="552">
        <f t="shared" si="2"/>
        <v>2382856.5527010523</v>
      </c>
      <c r="H131" s="553">
        <f t="shared" si="3"/>
        <v>2382856.5527010523</v>
      </c>
      <c r="I131" s="550">
        <f t="shared" si="4"/>
        <v>0</v>
      </c>
      <c r="J131" s="550"/>
      <c r="K131" s="570"/>
      <c r="L131" s="554"/>
      <c r="M131" s="570"/>
      <c r="N131" s="554"/>
      <c r="O131" s="554"/>
    </row>
    <row r="132" spans="3:15">
      <c r="C132" s="546">
        <f>IF(D95="","-",+C131+1)</f>
        <v>2047</v>
      </c>
      <c r="D132" s="504">
        <f t="shared" si="0"/>
        <v>11052844.813953489</v>
      </c>
      <c r="E132" s="547">
        <f t="shared" si="5"/>
        <v>884227.58511627896</v>
      </c>
      <c r="F132" s="504">
        <f t="shared" si="1"/>
        <v>10168617.228837211</v>
      </c>
      <c r="G132" s="552">
        <f t="shared" si="2"/>
        <v>2267577.4013483776</v>
      </c>
      <c r="H132" s="553">
        <f t="shared" si="3"/>
        <v>2267577.4013483776</v>
      </c>
      <c r="I132" s="550">
        <f t="shared" si="4"/>
        <v>0</v>
      </c>
      <c r="J132" s="550"/>
      <c r="K132" s="570"/>
      <c r="L132" s="554"/>
      <c r="M132" s="570"/>
      <c r="N132" s="554"/>
      <c r="O132" s="554"/>
    </row>
    <row r="133" spans="3:15">
      <c r="C133" s="546">
        <f>IF(D95="","-",+C132+1)</f>
        <v>2048</v>
      </c>
      <c r="D133" s="504">
        <f t="shared" si="0"/>
        <v>10168617.228837211</v>
      </c>
      <c r="E133" s="547">
        <f t="shared" si="5"/>
        <v>884227.58511627896</v>
      </c>
      <c r="F133" s="504">
        <f t="shared" si="1"/>
        <v>9284389.6437209323</v>
      </c>
      <c r="G133" s="552">
        <f t="shared" si="2"/>
        <v>2152298.2499957029</v>
      </c>
      <c r="H133" s="553">
        <f t="shared" si="3"/>
        <v>2152298.2499957029</v>
      </c>
      <c r="I133" s="550">
        <f t="shared" si="4"/>
        <v>0</v>
      </c>
      <c r="J133" s="550"/>
      <c r="K133" s="570"/>
      <c r="L133" s="554"/>
      <c r="M133" s="570"/>
      <c r="N133" s="554"/>
      <c r="O133" s="554"/>
    </row>
    <row r="134" spans="3:15">
      <c r="C134" s="546">
        <f>IF(D95="","-",+C133+1)</f>
        <v>2049</v>
      </c>
      <c r="D134" s="504">
        <f t="shared" si="0"/>
        <v>9284389.6437209323</v>
      </c>
      <c r="E134" s="547">
        <f t="shared" si="5"/>
        <v>884227.58511627896</v>
      </c>
      <c r="F134" s="504">
        <f t="shared" si="1"/>
        <v>8400162.0586046539</v>
      </c>
      <c r="G134" s="552">
        <f t="shared" si="2"/>
        <v>2037019.0986430282</v>
      </c>
      <c r="H134" s="553">
        <f t="shared" si="3"/>
        <v>2037019.0986430282</v>
      </c>
      <c r="I134" s="550">
        <f t="shared" si="4"/>
        <v>0</v>
      </c>
      <c r="J134" s="550"/>
      <c r="K134" s="570"/>
      <c r="L134" s="554"/>
      <c r="M134" s="570"/>
      <c r="N134" s="554"/>
      <c r="O134" s="554"/>
    </row>
    <row r="135" spans="3:15">
      <c r="C135" s="546">
        <f>IF(D95="","-",+C134+1)</f>
        <v>2050</v>
      </c>
      <c r="D135" s="504">
        <f t="shared" si="0"/>
        <v>8400162.0586046539</v>
      </c>
      <c r="E135" s="547">
        <f t="shared" si="5"/>
        <v>884227.58511627896</v>
      </c>
      <c r="F135" s="504">
        <f t="shared" si="1"/>
        <v>7515934.4734883746</v>
      </c>
      <c r="G135" s="552">
        <f t="shared" si="2"/>
        <v>1921739.9472903532</v>
      </c>
      <c r="H135" s="553">
        <f t="shared" si="3"/>
        <v>1921739.9472903532</v>
      </c>
      <c r="I135" s="550">
        <f t="shared" si="4"/>
        <v>0</v>
      </c>
      <c r="J135" s="550"/>
      <c r="K135" s="570"/>
      <c r="L135" s="554"/>
      <c r="M135" s="570"/>
      <c r="N135" s="554"/>
      <c r="O135" s="554"/>
    </row>
    <row r="136" spans="3:15">
      <c r="C136" s="546">
        <f>IF(D95="","-",+C135+1)</f>
        <v>2051</v>
      </c>
      <c r="D136" s="504">
        <f t="shared" si="0"/>
        <v>7515934.4734883746</v>
      </c>
      <c r="E136" s="547">
        <f t="shared" si="5"/>
        <v>884227.58511627896</v>
      </c>
      <c r="F136" s="504">
        <f t="shared" si="1"/>
        <v>6631706.8883720953</v>
      </c>
      <c r="G136" s="552">
        <f t="shared" si="2"/>
        <v>1806460.7959376783</v>
      </c>
      <c r="H136" s="553">
        <f t="shared" si="3"/>
        <v>1806460.7959376783</v>
      </c>
      <c r="I136" s="550">
        <f t="shared" si="4"/>
        <v>0</v>
      </c>
      <c r="J136" s="550"/>
      <c r="K136" s="570"/>
      <c r="L136" s="554"/>
      <c r="M136" s="570"/>
      <c r="N136" s="554"/>
      <c r="O136" s="554"/>
    </row>
    <row r="137" spans="3:15">
      <c r="C137" s="546">
        <f>IF(D95="","-",+C136+1)</f>
        <v>2052</v>
      </c>
      <c r="D137" s="504">
        <f t="shared" si="0"/>
        <v>6631706.8883720953</v>
      </c>
      <c r="E137" s="547">
        <f t="shared" si="5"/>
        <v>884227.58511627896</v>
      </c>
      <c r="F137" s="504">
        <f t="shared" si="1"/>
        <v>5747479.303255816</v>
      </c>
      <c r="G137" s="552">
        <f t="shared" si="2"/>
        <v>1691181.6445850036</v>
      </c>
      <c r="H137" s="553">
        <f t="shared" si="3"/>
        <v>1691181.6445850036</v>
      </c>
      <c r="I137" s="550">
        <f t="shared" si="4"/>
        <v>0</v>
      </c>
      <c r="J137" s="550"/>
      <c r="K137" s="570"/>
      <c r="L137" s="554"/>
      <c r="M137" s="570"/>
      <c r="N137" s="554"/>
      <c r="O137" s="554"/>
    </row>
    <row r="138" spans="3:15">
      <c r="C138" s="546">
        <f>IF(D95="","-",+C137+1)</f>
        <v>2053</v>
      </c>
      <c r="D138" s="504">
        <f t="shared" si="0"/>
        <v>5747479.303255816</v>
      </c>
      <c r="E138" s="547">
        <f t="shared" si="5"/>
        <v>884227.58511627896</v>
      </c>
      <c r="F138" s="504">
        <f t="shared" si="1"/>
        <v>4863251.7181395367</v>
      </c>
      <c r="G138" s="552">
        <f t="shared" si="2"/>
        <v>1575902.4932323284</v>
      </c>
      <c r="H138" s="553">
        <f t="shared" si="3"/>
        <v>1575902.4932323284</v>
      </c>
      <c r="I138" s="550">
        <f t="shared" si="4"/>
        <v>0</v>
      </c>
      <c r="J138" s="550"/>
      <c r="K138" s="570"/>
      <c r="L138" s="554"/>
      <c r="M138" s="570"/>
      <c r="N138" s="554"/>
      <c r="O138" s="554"/>
    </row>
    <row r="139" spans="3:15">
      <c r="C139" s="546">
        <f>IF(D95="","-",+C138+1)</f>
        <v>2054</v>
      </c>
      <c r="D139" s="504">
        <f t="shared" si="0"/>
        <v>4863251.7181395367</v>
      </c>
      <c r="E139" s="547">
        <f t="shared" si="5"/>
        <v>884227.58511627896</v>
      </c>
      <c r="F139" s="504">
        <f t="shared" si="1"/>
        <v>3979024.1330232578</v>
      </c>
      <c r="G139" s="552">
        <f t="shared" si="2"/>
        <v>1460623.3418796537</v>
      </c>
      <c r="H139" s="553">
        <f t="shared" si="3"/>
        <v>1460623.3418796537</v>
      </c>
      <c r="I139" s="550">
        <f t="shared" si="4"/>
        <v>0</v>
      </c>
      <c r="J139" s="550"/>
      <c r="K139" s="570"/>
      <c r="L139" s="554"/>
      <c r="M139" s="570"/>
      <c r="N139" s="554"/>
      <c r="O139" s="554"/>
    </row>
    <row r="140" spans="3:15">
      <c r="C140" s="546">
        <f>IF(D95="","-",+C139+1)</f>
        <v>2055</v>
      </c>
      <c r="D140" s="504">
        <f t="shared" si="0"/>
        <v>3979024.1330232578</v>
      </c>
      <c r="E140" s="547">
        <f t="shared" si="5"/>
        <v>884227.58511627896</v>
      </c>
      <c r="F140" s="504">
        <f t="shared" si="1"/>
        <v>3094796.547906979</v>
      </c>
      <c r="G140" s="552">
        <f t="shared" si="2"/>
        <v>1345344.1905269786</v>
      </c>
      <c r="H140" s="553">
        <f t="shared" si="3"/>
        <v>1345344.1905269786</v>
      </c>
      <c r="I140" s="550">
        <f t="shared" si="4"/>
        <v>0</v>
      </c>
      <c r="J140" s="550"/>
      <c r="K140" s="570"/>
      <c r="L140" s="554"/>
      <c r="M140" s="570"/>
      <c r="N140" s="554"/>
      <c r="O140" s="554"/>
    </row>
    <row r="141" spans="3:15">
      <c r="C141" s="546">
        <f>IF(D95="","-",+C140+1)</f>
        <v>2056</v>
      </c>
      <c r="D141" s="504">
        <f t="shared" si="0"/>
        <v>3094796.547906979</v>
      </c>
      <c r="E141" s="547">
        <f t="shared" si="5"/>
        <v>884227.58511627896</v>
      </c>
      <c r="F141" s="504">
        <f t="shared" si="1"/>
        <v>2210568.9627907001</v>
      </c>
      <c r="G141" s="552">
        <f t="shared" si="2"/>
        <v>1230065.0391743039</v>
      </c>
      <c r="H141" s="553">
        <f t="shared" si="3"/>
        <v>1230065.0391743039</v>
      </c>
      <c r="I141" s="550">
        <f t="shared" si="4"/>
        <v>0</v>
      </c>
      <c r="J141" s="550"/>
      <c r="K141" s="570"/>
      <c r="L141" s="554"/>
      <c r="M141" s="570"/>
      <c r="N141" s="554"/>
      <c r="O141" s="554"/>
    </row>
    <row r="142" spans="3:15">
      <c r="C142" s="546">
        <f>IF(D95="","-",+C141+1)</f>
        <v>2057</v>
      </c>
      <c r="D142" s="504">
        <f t="shared" si="0"/>
        <v>2210568.9627907001</v>
      </c>
      <c r="E142" s="547">
        <f t="shared" si="5"/>
        <v>884227.58511627896</v>
      </c>
      <c r="F142" s="504">
        <f t="shared" si="1"/>
        <v>1326341.3776744213</v>
      </c>
      <c r="G142" s="552">
        <f t="shared" si="2"/>
        <v>1114785.8878216292</v>
      </c>
      <c r="H142" s="553">
        <f t="shared" si="3"/>
        <v>1114785.8878216292</v>
      </c>
      <c r="I142" s="550">
        <f t="shared" si="4"/>
        <v>0</v>
      </c>
      <c r="J142" s="550"/>
      <c r="K142" s="570"/>
      <c r="L142" s="554"/>
      <c r="M142" s="570"/>
      <c r="N142" s="554"/>
      <c r="O142" s="554"/>
    </row>
    <row r="143" spans="3:15">
      <c r="C143" s="546">
        <f>IF(D95="","-",+C142+1)</f>
        <v>2058</v>
      </c>
      <c r="D143" s="504">
        <f t="shared" si="0"/>
        <v>1326341.3776744213</v>
      </c>
      <c r="E143" s="547">
        <f t="shared" si="5"/>
        <v>884227.58511627896</v>
      </c>
      <c r="F143" s="504">
        <f t="shared" si="1"/>
        <v>442113.79255814233</v>
      </c>
      <c r="G143" s="552">
        <f t="shared" si="2"/>
        <v>999506.73646895424</v>
      </c>
      <c r="H143" s="553">
        <f t="shared" si="3"/>
        <v>999506.73646895424</v>
      </c>
      <c r="I143" s="550">
        <f t="shared" si="4"/>
        <v>0</v>
      </c>
      <c r="J143" s="550"/>
      <c r="K143" s="570"/>
      <c r="L143" s="554"/>
      <c r="M143" s="570"/>
      <c r="N143" s="554"/>
      <c r="O143" s="554"/>
    </row>
    <row r="144" spans="3:15">
      <c r="C144" s="546">
        <f>IF(D95="","-",+C143+1)</f>
        <v>2059</v>
      </c>
      <c r="D144" s="504">
        <f t="shared" si="0"/>
        <v>442113.79255814233</v>
      </c>
      <c r="E144" s="547">
        <f t="shared" si="5"/>
        <v>442113.79255814233</v>
      </c>
      <c r="F144" s="504">
        <f t="shared" si="1"/>
        <v>0</v>
      </c>
      <c r="G144" s="552">
        <f t="shared" si="2"/>
        <v>470933.58039631124</v>
      </c>
      <c r="H144" s="553">
        <f t="shared" si="3"/>
        <v>470933.58039631124</v>
      </c>
      <c r="I144" s="550">
        <f t="shared" si="4"/>
        <v>0</v>
      </c>
      <c r="J144" s="550"/>
      <c r="K144" s="570"/>
      <c r="L144" s="554"/>
      <c r="M144" s="570"/>
      <c r="N144" s="554"/>
      <c r="O144" s="554"/>
    </row>
    <row r="145" spans="3:15">
      <c r="C145" s="546">
        <f>IF(D95="","-",+C144+1)</f>
        <v>2060</v>
      </c>
      <c r="D145" s="504">
        <f t="shared" si="0"/>
        <v>0</v>
      </c>
      <c r="E145" s="547">
        <f t="shared" si="5"/>
        <v>0</v>
      </c>
      <c r="F145" s="504">
        <f t="shared" si="1"/>
        <v>0</v>
      </c>
      <c r="G145" s="552">
        <f t="shared" si="2"/>
        <v>0</v>
      </c>
      <c r="H145" s="553">
        <f t="shared" si="3"/>
        <v>0</v>
      </c>
      <c r="I145" s="550">
        <f t="shared" si="4"/>
        <v>0</v>
      </c>
      <c r="J145" s="550"/>
      <c r="K145" s="570"/>
      <c r="L145" s="554"/>
      <c r="M145" s="570"/>
      <c r="N145" s="554"/>
      <c r="O145" s="554"/>
    </row>
    <row r="146" spans="3:15">
      <c r="C146" s="546">
        <f>IF(D95="","-",+C145+1)</f>
        <v>2061</v>
      </c>
      <c r="D146" s="504">
        <f t="shared" si="0"/>
        <v>0</v>
      </c>
      <c r="E146" s="547">
        <f t="shared" si="5"/>
        <v>0</v>
      </c>
      <c r="F146" s="504">
        <f t="shared" si="1"/>
        <v>0</v>
      </c>
      <c r="G146" s="552">
        <f t="shared" si="2"/>
        <v>0</v>
      </c>
      <c r="H146" s="553">
        <f t="shared" si="3"/>
        <v>0</v>
      </c>
      <c r="I146" s="550">
        <f t="shared" si="4"/>
        <v>0</v>
      </c>
      <c r="J146" s="550"/>
      <c r="K146" s="570"/>
      <c r="L146" s="554"/>
      <c r="M146" s="570"/>
      <c r="N146" s="554"/>
      <c r="O146" s="554"/>
    </row>
    <row r="147" spans="3:15">
      <c r="C147" s="546">
        <f>IF(D95="","-",+C146+1)</f>
        <v>2062</v>
      </c>
      <c r="D147" s="504">
        <f t="shared" si="0"/>
        <v>0</v>
      </c>
      <c r="E147" s="547">
        <f t="shared" si="5"/>
        <v>0</v>
      </c>
      <c r="F147" s="504">
        <f t="shared" si="1"/>
        <v>0</v>
      </c>
      <c r="G147" s="552">
        <f t="shared" si="2"/>
        <v>0</v>
      </c>
      <c r="H147" s="553">
        <f t="shared" si="3"/>
        <v>0</v>
      </c>
      <c r="I147" s="550">
        <f t="shared" si="4"/>
        <v>0</v>
      </c>
      <c r="J147" s="550"/>
      <c r="K147" s="570"/>
      <c r="L147" s="554"/>
      <c r="M147" s="570"/>
      <c r="N147" s="554"/>
      <c r="O147" s="554"/>
    </row>
    <row r="148" spans="3:15">
      <c r="C148" s="546">
        <f>IF(D95="","-",+C147+1)</f>
        <v>2063</v>
      </c>
      <c r="D148" s="504">
        <f t="shared" si="0"/>
        <v>0</v>
      </c>
      <c r="E148" s="547">
        <f t="shared" si="5"/>
        <v>0</v>
      </c>
      <c r="F148" s="504">
        <f t="shared" si="1"/>
        <v>0</v>
      </c>
      <c r="G148" s="552">
        <f t="shared" si="2"/>
        <v>0</v>
      </c>
      <c r="H148" s="553">
        <f t="shared" si="3"/>
        <v>0</v>
      </c>
      <c r="I148" s="550">
        <f t="shared" si="4"/>
        <v>0</v>
      </c>
      <c r="J148" s="550"/>
      <c r="K148" s="570"/>
      <c r="L148" s="554"/>
      <c r="M148" s="570"/>
      <c r="N148" s="554"/>
      <c r="O148" s="554"/>
    </row>
    <row r="149" spans="3:15">
      <c r="C149" s="546">
        <f>IF(D95="","-",+C148+1)</f>
        <v>2064</v>
      </c>
      <c r="D149" s="504">
        <f t="shared" si="0"/>
        <v>0</v>
      </c>
      <c r="E149" s="547">
        <f t="shared" si="5"/>
        <v>0</v>
      </c>
      <c r="F149" s="504">
        <f t="shared" si="1"/>
        <v>0</v>
      </c>
      <c r="G149" s="552">
        <f t="shared" si="2"/>
        <v>0</v>
      </c>
      <c r="H149" s="553">
        <f t="shared" si="3"/>
        <v>0</v>
      </c>
      <c r="I149" s="550">
        <f t="shared" si="4"/>
        <v>0</v>
      </c>
      <c r="J149" s="550"/>
      <c r="K149" s="570"/>
      <c r="L149" s="554"/>
      <c r="M149" s="570"/>
      <c r="N149" s="554"/>
      <c r="O149" s="554"/>
    </row>
    <row r="150" spans="3:15">
      <c r="C150" s="546">
        <f>IF(D95="","-",+C149+1)</f>
        <v>2065</v>
      </c>
      <c r="D150" s="504">
        <f t="shared" si="0"/>
        <v>0</v>
      </c>
      <c r="E150" s="547">
        <f t="shared" si="5"/>
        <v>0</v>
      </c>
      <c r="F150" s="504">
        <f t="shared" si="1"/>
        <v>0</v>
      </c>
      <c r="G150" s="552">
        <f t="shared" si="2"/>
        <v>0</v>
      </c>
      <c r="H150" s="553">
        <f t="shared" si="3"/>
        <v>0</v>
      </c>
      <c r="I150" s="550">
        <f t="shared" si="4"/>
        <v>0</v>
      </c>
      <c r="J150" s="550"/>
      <c r="K150" s="570"/>
      <c r="L150" s="554"/>
      <c r="M150" s="570"/>
      <c r="N150" s="554"/>
      <c r="O150" s="554"/>
    </row>
    <row r="151" spans="3:15">
      <c r="C151" s="546">
        <f>IF(D95="","-",+C150+1)</f>
        <v>2066</v>
      </c>
      <c r="D151" s="504">
        <f t="shared" si="0"/>
        <v>0</v>
      </c>
      <c r="E151" s="547">
        <f t="shared" si="5"/>
        <v>0</v>
      </c>
      <c r="F151" s="504">
        <f t="shared" si="1"/>
        <v>0</v>
      </c>
      <c r="G151" s="552">
        <f t="shared" si="2"/>
        <v>0</v>
      </c>
      <c r="H151" s="553">
        <f t="shared" si="3"/>
        <v>0</v>
      </c>
      <c r="I151" s="550">
        <f t="shared" si="4"/>
        <v>0</v>
      </c>
      <c r="J151" s="550"/>
      <c r="K151" s="570"/>
      <c r="L151" s="554"/>
      <c r="M151" s="570"/>
      <c r="N151" s="554"/>
      <c r="O151" s="554"/>
    </row>
    <row r="152" spans="3:15">
      <c r="C152" s="546">
        <f>IF(D95="","-",+C151+1)</f>
        <v>2067</v>
      </c>
      <c r="D152" s="504">
        <f t="shared" si="0"/>
        <v>0</v>
      </c>
      <c r="E152" s="547">
        <f t="shared" si="5"/>
        <v>0</v>
      </c>
      <c r="F152" s="504">
        <f t="shared" si="1"/>
        <v>0</v>
      </c>
      <c r="G152" s="552">
        <f t="shared" si="2"/>
        <v>0</v>
      </c>
      <c r="H152" s="553">
        <f t="shared" si="3"/>
        <v>0</v>
      </c>
      <c r="I152" s="550">
        <f t="shared" si="4"/>
        <v>0</v>
      </c>
      <c r="J152" s="550"/>
      <c r="K152" s="570"/>
      <c r="L152" s="554"/>
      <c r="M152" s="570"/>
      <c r="N152" s="554"/>
      <c r="O152" s="554"/>
    </row>
    <row r="153" spans="3:15">
      <c r="C153" s="546">
        <f>IF(D95="","-",+C152+1)</f>
        <v>2068</v>
      </c>
      <c r="D153" s="504">
        <f t="shared" si="0"/>
        <v>0</v>
      </c>
      <c r="E153" s="547">
        <f t="shared" si="5"/>
        <v>0</v>
      </c>
      <c r="F153" s="504">
        <f t="shared" si="1"/>
        <v>0</v>
      </c>
      <c r="G153" s="552">
        <f t="shared" si="2"/>
        <v>0</v>
      </c>
      <c r="H153" s="553">
        <f t="shared" si="3"/>
        <v>0</v>
      </c>
      <c r="I153" s="550">
        <f t="shared" si="4"/>
        <v>0</v>
      </c>
      <c r="J153" s="550"/>
      <c r="K153" s="570"/>
      <c r="L153" s="554"/>
      <c r="M153" s="570"/>
      <c r="N153" s="554"/>
      <c r="O153" s="554"/>
    </row>
    <row r="154" spans="3:15">
      <c r="C154" s="546">
        <f>IF(D95="","-",+C153+1)</f>
        <v>2069</v>
      </c>
      <c r="D154" s="504">
        <f t="shared" si="0"/>
        <v>0</v>
      </c>
      <c r="E154" s="547">
        <f t="shared" si="5"/>
        <v>0</v>
      </c>
      <c r="F154" s="504">
        <f t="shared" si="1"/>
        <v>0</v>
      </c>
      <c r="G154" s="552">
        <f t="shared" si="2"/>
        <v>0</v>
      </c>
      <c r="H154" s="553">
        <f t="shared" si="3"/>
        <v>0</v>
      </c>
      <c r="I154" s="550">
        <f t="shared" si="4"/>
        <v>0</v>
      </c>
      <c r="J154" s="550"/>
      <c r="K154" s="570"/>
      <c r="L154" s="554"/>
      <c r="M154" s="570"/>
      <c r="N154" s="554"/>
      <c r="O154" s="554"/>
    </row>
    <row r="155" spans="3:15">
      <c r="C155" s="546">
        <f>IF(D95="","-",+C154+1)</f>
        <v>2070</v>
      </c>
      <c r="D155" s="504">
        <f t="shared" si="0"/>
        <v>0</v>
      </c>
      <c r="E155" s="547">
        <f t="shared" si="5"/>
        <v>0</v>
      </c>
      <c r="F155" s="504">
        <f t="shared" si="1"/>
        <v>0</v>
      </c>
      <c r="G155" s="552">
        <f t="shared" si="2"/>
        <v>0</v>
      </c>
      <c r="H155" s="553">
        <f t="shared" si="3"/>
        <v>0</v>
      </c>
      <c r="I155" s="550">
        <f t="shared" si="4"/>
        <v>0</v>
      </c>
      <c r="J155" s="550"/>
      <c r="K155" s="570"/>
      <c r="L155" s="554"/>
      <c r="M155" s="570"/>
      <c r="N155" s="554"/>
      <c r="O155" s="554"/>
    </row>
    <row r="156" spans="3:15">
      <c r="C156" s="546">
        <f>IF(D95="","-",+C155+1)</f>
        <v>2071</v>
      </c>
      <c r="D156" s="504">
        <f t="shared" si="0"/>
        <v>0</v>
      </c>
      <c r="E156" s="547">
        <f t="shared" si="5"/>
        <v>0</v>
      </c>
      <c r="F156" s="504">
        <f t="shared" si="1"/>
        <v>0</v>
      </c>
      <c r="G156" s="552">
        <f t="shared" si="2"/>
        <v>0</v>
      </c>
      <c r="H156" s="553">
        <f t="shared" si="3"/>
        <v>0</v>
      </c>
      <c r="I156" s="550">
        <f t="shared" si="4"/>
        <v>0</v>
      </c>
      <c r="J156" s="550"/>
      <c r="K156" s="570"/>
      <c r="L156" s="554"/>
      <c r="M156" s="570"/>
      <c r="N156" s="554"/>
      <c r="O156" s="554"/>
    </row>
    <row r="157" spans="3:15">
      <c r="C157" s="546">
        <f>IF(D95="","-",+C156+1)</f>
        <v>2072</v>
      </c>
      <c r="D157" s="504">
        <f t="shared" si="0"/>
        <v>0</v>
      </c>
      <c r="E157" s="547">
        <f t="shared" si="5"/>
        <v>0</v>
      </c>
      <c r="F157" s="504">
        <f t="shared" si="1"/>
        <v>0</v>
      </c>
      <c r="G157" s="552">
        <f t="shared" si="2"/>
        <v>0</v>
      </c>
      <c r="H157" s="553">
        <f t="shared" si="3"/>
        <v>0</v>
      </c>
      <c r="I157" s="550">
        <f t="shared" si="4"/>
        <v>0</v>
      </c>
      <c r="J157" s="550"/>
      <c r="K157" s="570"/>
      <c r="L157" s="554"/>
      <c r="M157" s="570"/>
      <c r="N157" s="554"/>
      <c r="O157" s="554"/>
    </row>
    <row r="158" spans="3:15">
      <c r="C158" s="546">
        <f>IF(D95="","-",+C157+1)</f>
        <v>2073</v>
      </c>
      <c r="D158" s="504">
        <f t="shared" si="0"/>
        <v>0</v>
      </c>
      <c r="E158" s="547">
        <f t="shared" si="5"/>
        <v>0</v>
      </c>
      <c r="F158" s="504">
        <f t="shared" si="1"/>
        <v>0</v>
      </c>
      <c r="G158" s="552">
        <f t="shared" si="2"/>
        <v>0</v>
      </c>
      <c r="H158" s="553">
        <f t="shared" si="3"/>
        <v>0</v>
      </c>
      <c r="I158" s="550">
        <f t="shared" si="4"/>
        <v>0</v>
      </c>
      <c r="J158" s="550"/>
      <c r="K158" s="570"/>
      <c r="L158" s="554"/>
      <c r="M158" s="570"/>
      <c r="N158" s="554"/>
      <c r="O158" s="554"/>
    </row>
    <row r="159" spans="3:15">
      <c r="C159" s="546">
        <f>IF(D95="","-",+C158+1)</f>
        <v>2074</v>
      </c>
      <c r="D159" s="504">
        <f t="shared" si="0"/>
        <v>0</v>
      </c>
      <c r="E159" s="547">
        <f t="shared" si="5"/>
        <v>0</v>
      </c>
      <c r="F159" s="504">
        <f t="shared" si="1"/>
        <v>0</v>
      </c>
      <c r="G159" s="552">
        <f t="shared" si="2"/>
        <v>0</v>
      </c>
      <c r="H159" s="553">
        <f t="shared" si="3"/>
        <v>0</v>
      </c>
      <c r="I159" s="550">
        <f t="shared" si="4"/>
        <v>0</v>
      </c>
      <c r="J159" s="550"/>
      <c r="K159" s="570"/>
      <c r="L159" s="554"/>
      <c r="M159" s="570"/>
      <c r="N159" s="554"/>
      <c r="O159" s="554"/>
    </row>
    <row r="160" spans="3:15" ht="13.5" thickBot="1">
      <c r="C160" s="556">
        <f>IF(D95="","-",+C159+1)</f>
        <v>2075</v>
      </c>
      <c r="D160" s="557">
        <f t="shared" si="0"/>
        <v>0</v>
      </c>
      <c r="E160" s="558">
        <f t="shared" si="5"/>
        <v>0</v>
      </c>
      <c r="F160" s="557">
        <f t="shared" si="1"/>
        <v>0</v>
      </c>
      <c r="G160" s="559">
        <f t="shared" si="2"/>
        <v>0</v>
      </c>
      <c r="H160" s="559">
        <f t="shared" si="3"/>
        <v>0</v>
      </c>
      <c r="I160" s="560">
        <f t="shared" si="4"/>
        <v>0</v>
      </c>
      <c r="J160" s="550"/>
      <c r="K160" s="571"/>
      <c r="L160" s="561"/>
      <c r="M160" s="571"/>
      <c r="N160" s="561"/>
      <c r="O160" s="561"/>
    </row>
    <row r="161" spans="3:15">
      <c r="C161" s="504" t="s">
        <v>91</v>
      </c>
      <c r="D161" s="501"/>
      <c r="E161" s="501">
        <f>SUM(E101:E160)</f>
        <v>38021786.159999996</v>
      </c>
      <c r="F161" s="501"/>
      <c r="G161" s="501">
        <f>SUM(G101:G160)</f>
        <v>147075863.33963048</v>
      </c>
      <c r="H161" s="501">
        <f>SUM(H101:H160)</f>
        <v>147075863.33963048</v>
      </c>
      <c r="I161" s="501">
        <f>SUM(I101:I160)</f>
        <v>0</v>
      </c>
      <c r="J161" s="501"/>
      <c r="K161" s="501"/>
      <c r="L161" s="501"/>
      <c r="M161" s="501"/>
      <c r="N161" s="501"/>
      <c r="O161" s="3"/>
    </row>
    <row r="162" spans="3:15">
      <c r="D162" s="47"/>
      <c r="E162" s="3"/>
      <c r="F162" s="3"/>
      <c r="G162" s="3"/>
      <c r="H162" s="488"/>
      <c r="I162" s="488"/>
      <c r="J162" s="501"/>
      <c r="K162" s="488"/>
      <c r="L162" s="488"/>
      <c r="M162" s="488"/>
      <c r="N162" s="488"/>
      <c r="O162" s="3"/>
    </row>
    <row r="163" spans="3:15">
      <c r="C163" s="3" t="s">
        <v>13</v>
      </c>
      <c r="D163" s="47"/>
      <c r="E163" s="3"/>
      <c r="F163" s="3"/>
      <c r="G163" s="3"/>
      <c r="H163" s="488"/>
      <c r="I163" s="488"/>
      <c r="J163" s="501"/>
      <c r="K163" s="488"/>
      <c r="L163" s="488"/>
      <c r="M163" s="488"/>
      <c r="N163" s="488"/>
      <c r="O163" s="3"/>
    </row>
    <row r="164" spans="3:15">
      <c r="C164" s="3"/>
      <c r="D164" s="47"/>
      <c r="E164" s="3"/>
      <c r="F164" s="3"/>
      <c r="G164" s="3"/>
      <c r="H164" s="488"/>
      <c r="I164" s="488"/>
      <c r="J164" s="501"/>
      <c r="K164" s="488"/>
      <c r="L164" s="488"/>
      <c r="M164" s="488"/>
      <c r="N164" s="488"/>
      <c r="O164" s="3"/>
    </row>
    <row r="165" spans="3:15">
      <c r="C165" s="516" t="s">
        <v>14</v>
      </c>
      <c r="D165" s="504"/>
      <c r="E165" s="504"/>
      <c r="F165" s="504"/>
      <c r="G165" s="501"/>
      <c r="H165" s="501"/>
      <c r="I165" s="562"/>
      <c r="J165" s="562"/>
      <c r="K165" s="562"/>
      <c r="L165" s="562"/>
      <c r="M165" s="562"/>
      <c r="N165" s="562"/>
      <c r="O165" s="3"/>
    </row>
    <row r="166" spans="3:15">
      <c r="C166" s="505" t="s">
        <v>271</v>
      </c>
      <c r="D166" s="504"/>
      <c r="E166" s="504"/>
      <c r="F166" s="504"/>
      <c r="G166" s="501"/>
      <c r="H166" s="501"/>
      <c r="I166" s="562"/>
      <c r="J166" s="562"/>
      <c r="K166" s="562"/>
      <c r="L166" s="562"/>
      <c r="M166" s="562"/>
      <c r="N166" s="562"/>
      <c r="O166" s="3"/>
    </row>
    <row r="167" spans="3:15">
      <c r="C167" s="505" t="s">
        <v>92</v>
      </c>
      <c r="D167" s="504"/>
      <c r="E167" s="504"/>
      <c r="F167" s="504"/>
      <c r="G167" s="501"/>
      <c r="H167" s="501"/>
      <c r="I167" s="562"/>
      <c r="J167" s="562"/>
      <c r="K167" s="562"/>
      <c r="L167" s="562"/>
      <c r="M167" s="562"/>
      <c r="N167" s="562"/>
      <c r="O167" s="3"/>
    </row>
    <row r="168" spans="3:15">
      <c r="C168" s="505"/>
      <c r="D168" s="504"/>
      <c r="E168" s="504"/>
      <c r="F168" s="504"/>
      <c r="G168" s="501"/>
      <c r="H168" s="501"/>
      <c r="I168" s="562"/>
      <c r="J168" s="562"/>
      <c r="K168" s="562"/>
      <c r="L168" s="562"/>
      <c r="M168" s="562"/>
      <c r="N168" s="562"/>
      <c r="O168" s="3"/>
    </row>
    <row r="169" spans="3:15">
      <c r="C169" s="1187" t="s">
        <v>6</v>
      </c>
      <c r="D169" s="1187"/>
      <c r="E169" s="1187"/>
      <c r="F169" s="1187"/>
      <c r="G169" s="1187"/>
      <c r="H169" s="1187"/>
      <c r="I169" s="1187"/>
      <c r="J169" s="1187"/>
      <c r="K169" s="1187"/>
      <c r="L169" s="1187"/>
      <c r="M169" s="1187"/>
      <c r="N169" s="1187"/>
      <c r="O169" s="1187"/>
    </row>
    <row r="170" spans="3:15">
      <c r="C170" s="1187"/>
      <c r="D170" s="1187"/>
      <c r="E170" s="1187"/>
      <c r="F170" s="1187"/>
      <c r="G170" s="1187"/>
      <c r="H170" s="1187"/>
      <c r="I170" s="1187"/>
      <c r="J170" s="1187"/>
      <c r="K170" s="1187"/>
      <c r="L170" s="1187"/>
      <c r="M170" s="1187"/>
      <c r="N170" s="1187"/>
      <c r="O170" s="1187"/>
    </row>
  </sheetData>
  <mergeCells count="10">
    <mergeCell ref="D90:I90"/>
    <mergeCell ref="C169:O170"/>
    <mergeCell ref="K94:O94"/>
    <mergeCell ref="A3:O3"/>
    <mergeCell ref="C11:H12"/>
    <mergeCell ref="A4:O4"/>
    <mergeCell ref="A5:O5"/>
    <mergeCell ref="A6:O6"/>
    <mergeCell ref="I77:O80"/>
    <mergeCell ref="K22:O23"/>
  </mergeCells>
  <phoneticPr fontId="0" type="noConversion"/>
  <conditionalFormatting sqref="C101:C160">
    <cfRule type="cellIs" dxfId="5" priority="11" stopIfTrue="1" operator="equal">
      <formula>$I$92</formula>
    </cfRule>
  </conditionalFormatting>
  <pageMargins left="0.25" right="0.25" top="1" bottom="1" header="0.75" footer="0.5"/>
  <pageSetup scale="38" orientation="landscape" r:id="rId1"/>
  <headerFooter alignWithMargins="0">
    <oddHeader>&amp;R&amp;"Arial,Bold"Formula Rate 
&amp;A
Page &amp;P of &amp;N</oddHeader>
  </headerFooter>
  <rowBreaks count="1" manualBreakCount="1">
    <brk id="80" max="1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Q166"/>
  <sheetViews>
    <sheetView view="pageBreakPreview" zoomScale="70" zoomScaleNormal="70" zoomScaleSheetLayoutView="70" workbookViewId="0"/>
  </sheetViews>
  <sheetFormatPr defaultColWidth="8.85546875" defaultRowHeight="12.75"/>
  <cols>
    <col min="1" max="1" width="4.7109375" customWidth="1"/>
    <col min="2" max="2" width="6.7109375" customWidth="1"/>
    <col min="3" max="3" width="20.7109375" customWidth="1"/>
    <col min="4" max="4" width="22" style="1" customWidth="1"/>
    <col min="5" max="5" width="19.28515625" customWidth="1"/>
    <col min="6" max="8" width="17.7109375" customWidth="1"/>
    <col min="9" max="9" width="17.7109375" style="340" customWidth="1"/>
    <col min="10" max="10" width="17.7109375" bestFit="1" customWidth="1"/>
    <col min="11" max="11" width="2.140625" customWidth="1"/>
    <col min="12" max="12" width="17.7109375" style="3" customWidth="1"/>
    <col min="13" max="13" width="36.42578125" style="3" customWidth="1"/>
    <col min="14" max="14" width="17.7109375" style="3" customWidth="1"/>
    <col min="15" max="15" width="23.42578125" style="3" customWidth="1"/>
    <col min="16" max="16" width="16.7109375" style="3" customWidth="1"/>
    <col min="17" max="17" width="5" customWidth="1"/>
  </cols>
  <sheetData>
    <row r="1" spans="1:17" ht="15.75">
      <c r="A1" s="696" t="s">
        <v>636</v>
      </c>
    </row>
    <row r="2" spans="1:17" ht="15.75">
      <c r="A2" s="696" t="s">
        <v>637</v>
      </c>
    </row>
    <row r="3" spans="1:17" ht="15">
      <c r="A3" s="1141" t="str">
        <f>TCOS!$F$5</f>
        <v>AEPTCo subsidiaries in PJM</v>
      </c>
      <c r="B3" s="1141" t="str">
        <f>TCOS!$F$5</f>
        <v>AEPTCo subsidiaries in PJM</v>
      </c>
      <c r="C3" s="1141" t="str">
        <f>TCOS!$F$5</f>
        <v>AEPTCo subsidiaries in PJM</v>
      </c>
      <c r="D3" s="1141" t="str">
        <f>TCOS!$F$5</f>
        <v>AEPTCo subsidiaries in PJM</v>
      </c>
      <c r="E3" s="1141" t="str">
        <f>TCOS!$F$5</f>
        <v>AEPTCo subsidiaries in PJM</v>
      </c>
      <c r="F3" s="1141" t="str">
        <f>TCOS!$F$5</f>
        <v>AEPTCo subsidiaries in PJM</v>
      </c>
      <c r="G3" s="1141" t="str">
        <f>TCOS!$F$5</f>
        <v>AEPTCo subsidiaries in PJM</v>
      </c>
      <c r="H3" s="1141" t="str">
        <f>TCOS!$F$5</f>
        <v>AEPTCo subsidiaries in PJM</v>
      </c>
      <c r="I3" s="1141" t="str">
        <f>TCOS!$F$5</f>
        <v>AEPTCo subsidiaries in PJM</v>
      </c>
      <c r="J3" s="1141" t="str">
        <f>TCOS!$F$5</f>
        <v>AEPTCo subsidiaries in PJM</v>
      </c>
      <c r="K3" s="1141" t="str">
        <f>TCOS!$F$5</f>
        <v>AEPTCo subsidiaries in PJM</v>
      </c>
      <c r="L3" s="1141" t="str">
        <f>TCOS!$F$5</f>
        <v>AEPTCo subsidiaries in PJM</v>
      </c>
      <c r="M3" s="1141" t="str">
        <f>TCOS!$F$5</f>
        <v>AEPTCo subsidiaries in PJM</v>
      </c>
      <c r="N3" s="1141" t="str">
        <f>TCOS!$F$5</f>
        <v>AEPTCo subsidiaries in PJM</v>
      </c>
      <c r="O3" s="1141" t="str">
        <f>TCOS!$F$5</f>
        <v>AEPTCo subsidiaries in PJM</v>
      </c>
      <c r="P3" s="1141" t="str">
        <f>TCOS!$F$5</f>
        <v>AEPTCo subsidiaries in PJM</v>
      </c>
    </row>
    <row r="4" spans="1:17" ht="15">
      <c r="A4" s="1142" t="str">
        <f>"Cost of Service Formula Rate Using Actual/Projected FF1 Balances"</f>
        <v>Cost of Service Formula Rate Using Actual/Projected FF1 Balances</v>
      </c>
      <c r="B4" s="1142"/>
      <c r="C4" s="1142"/>
      <c r="D4" s="1142"/>
      <c r="E4" s="1142"/>
      <c r="F4" s="1142"/>
      <c r="G4" s="1142"/>
      <c r="H4" s="1142"/>
      <c r="I4" s="1142"/>
      <c r="J4" s="1142"/>
      <c r="K4" s="1142"/>
      <c r="L4" s="1142"/>
      <c r="M4" s="1142"/>
      <c r="N4" s="1142"/>
      <c r="O4" s="1142"/>
      <c r="P4" s="1142"/>
    </row>
    <row r="5" spans="1:17" ht="15">
      <c r="A5" s="1142" t="s">
        <v>265</v>
      </c>
      <c r="B5" s="1142"/>
      <c r="C5" s="1142"/>
      <c r="D5" s="1142"/>
      <c r="E5" s="1142"/>
      <c r="F5" s="1142"/>
      <c r="G5" s="1142"/>
      <c r="H5" s="1142"/>
      <c r="I5" s="1142"/>
      <c r="J5" s="1142"/>
      <c r="K5" s="1142"/>
      <c r="L5" s="1142"/>
      <c r="M5" s="1142"/>
      <c r="N5" s="1142"/>
      <c r="O5" s="1142"/>
      <c r="P5" s="1142"/>
    </row>
    <row r="6" spans="1:17" ht="15">
      <c r="A6" s="1152" t="str">
        <f>TCOS!F9</f>
        <v>AEP Kentucky Transmission Company</v>
      </c>
      <c r="B6" s="1152"/>
      <c r="C6" s="1152"/>
      <c r="D6" s="1152"/>
      <c r="E6" s="1152"/>
      <c r="F6" s="1152"/>
      <c r="G6" s="1152"/>
      <c r="H6" s="1152"/>
      <c r="I6" s="1152"/>
      <c r="J6" s="1152"/>
      <c r="K6" s="1152"/>
      <c r="L6" s="1152"/>
      <c r="M6" s="1152"/>
      <c r="N6" s="1152"/>
      <c r="O6" s="1152"/>
      <c r="P6" s="1152"/>
    </row>
    <row r="8" spans="1:17" ht="20.25">
      <c r="A8" s="445"/>
      <c r="O8" s="396" t="str">
        <f>"Page "&amp;Q8&amp;" of "</f>
        <v xml:space="preserve">Page 1 of </v>
      </c>
      <c r="P8" s="446">
        <f>COUNT(Q$8:Q$57702)</f>
        <v>2</v>
      </c>
      <c r="Q8" s="396">
        <v>1</v>
      </c>
    </row>
    <row r="9" spans="1:17" ht="18">
      <c r="C9" s="6"/>
    </row>
    <row r="11" spans="1:17" ht="18">
      <c r="B11" s="447" t="s">
        <v>469</v>
      </c>
      <c r="C11" s="1189" t="str">
        <f>"Calculate Return and Income Taxes with "&amp;F17&amp;" basis point ROE increase for Projects Qualified for Regional Billing."</f>
        <v>Calculate Return and Income Taxes with 0 basis point ROE increase for Projects Qualified for Regional Billing.</v>
      </c>
      <c r="D11" s="1190"/>
      <c r="E11" s="1190"/>
      <c r="F11" s="1190"/>
      <c r="G11" s="1190"/>
      <c r="H11" s="1190"/>
      <c r="I11" s="1190"/>
    </row>
    <row r="12" spans="1:17" ht="18.75" customHeight="1">
      <c r="C12" s="1190"/>
      <c r="D12" s="1190"/>
      <c r="E12" s="1190"/>
      <c r="F12" s="1190"/>
      <c r="G12" s="1190"/>
      <c r="H12" s="1190"/>
      <c r="I12" s="1190"/>
    </row>
    <row r="13" spans="1:17" ht="15.75" customHeight="1">
      <c r="C13" s="448"/>
      <c r="D13" s="448"/>
      <c r="E13" s="448"/>
      <c r="F13" s="448"/>
      <c r="G13" s="448"/>
      <c r="H13" s="448"/>
      <c r="I13" s="448"/>
    </row>
    <row r="14" spans="1:17" ht="15.75">
      <c r="C14" s="449" t="str">
        <f>"A.   Determine 'R' with hypothetical "&amp;F17&amp;" basis point increase in ROE for Identified Projects"</f>
        <v>A.   Determine 'R' with hypothetical 0 basis point increase in ROE for Identified Projects</v>
      </c>
      <c r="D14" s="166"/>
    </row>
    <row r="15" spans="1:17">
      <c r="C15" s="41"/>
      <c r="D15" s="166"/>
    </row>
    <row r="16" spans="1:17">
      <c r="C16" s="450" t="str">
        <f>"   ROE w/o incentives  (TCOS, ln "&amp;TCOS!B251&amp;")"</f>
        <v xml:space="preserve">   ROE w/o incentives  (TCOS, ln 138)</v>
      </c>
      <c r="D16" s="166"/>
      <c r="E16" s="451"/>
      <c r="F16" s="572">
        <f>TCOS!J251</f>
        <v>0.10349999999999999</v>
      </c>
      <c r="G16" s="572"/>
      <c r="H16" s="451"/>
      <c r="I16" s="453"/>
      <c r="J16" s="453"/>
      <c r="K16" s="453"/>
      <c r="L16" s="453"/>
      <c r="M16" s="453"/>
      <c r="N16" s="453"/>
      <c r="O16" s="453"/>
      <c r="P16" s="453"/>
      <c r="Q16" s="453"/>
    </row>
    <row r="17" spans="3:17" ht="13.5" thickBot="1">
      <c r="C17" s="450" t="s">
        <v>50</v>
      </c>
      <c r="D17" s="166"/>
      <c r="E17" s="451"/>
      <c r="F17" s="563">
        <v>0</v>
      </c>
      <c r="G17" s="451"/>
      <c r="H17" s="451"/>
      <c r="I17" s="453"/>
      <c r="J17" s="453"/>
      <c r="K17" s="453"/>
      <c r="L17" s="453"/>
      <c r="M17" s="453"/>
      <c r="N17" s="453"/>
      <c r="O17" s="453"/>
      <c r="P17" s="453"/>
    </row>
    <row r="18" spans="3:17">
      <c r="C18" s="450" t="str">
        <f>"   ROE with additional "&amp;F17&amp;" basis point incentive"</f>
        <v xml:space="preserve">   ROE with additional 0 basis point incentive</v>
      </c>
      <c r="D18" s="451"/>
      <c r="E18" s="451"/>
      <c r="F18" s="454">
        <f>IF((F16+(F17/10000)&gt;0.125),"ERROR",F16+(F17/10000))</f>
        <v>0.10349999999999999</v>
      </c>
      <c r="G18" s="455"/>
      <c r="H18" s="451"/>
      <c r="I18" s="453"/>
      <c r="J18" s="453"/>
      <c r="K18" s="453"/>
      <c r="L18" s="573" t="s">
        <v>242</v>
      </c>
      <c r="M18" s="574"/>
      <c r="N18" s="574"/>
      <c r="O18" s="574"/>
      <c r="P18" s="575"/>
    </row>
    <row r="19" spans="3:17">
      <c r="C19" s="450" t="str">
        <f>"   Determine R  ( cost of long term debt, cost of preferred stock and equity percentage is from the True-Up TCOS, lns "&amp;TCOS!B249&amp;" through "&amp;TCOS!B251&amp;")"</f>
        <v xml:space="preserve">   Determine R  ( cost of long term debt, cost of preferred stock and equity percentage is from the True-Up TCOS, lns 136 through 138)</v>
      </c>
      <c r="D19" s="166"/>
      <c r="E19" s="451"/>
      <c r="F19" s="456"/>
      <c r="G19" s="456"/>
      <c r="H19" s="451"/>
      <c r="I19" s="453"/>
      <c r="J19" s="453"/>
      <c r="K19" s="453"/>
      <c r="L19" s="576"/>
      <c r="M19" s="453"/>
      <c r="N19" s="453" t="s">
        <v>52</v>
      </c>
      <c r="O19" s="453" t="s">
        <v>53</v>
      </c>
      <c r="P19" s="577" t="s">
        <v>55</v>
      </c>
    </row>
    <row r="20" spans="3:17">
      <c r="C20" s="453"/>
      <c r="D20" s="457" t="s">
        <v>444</v>
      </c>
      <c r="E20" s="457" t="s">
        <v>443</v>
      </c>
      <c r="F20" s="458" t="s">
        <v>51</v>
      </c>
      <c r="G20" s="458"/>
      <c r="H20" s="451"/>
      <c r="I20" s="453"/>
      <c r="J20" s="453"/>
      <c r="K20" s="453"/>
      <c r="L20" s="576" t="s">
        <v>240</v>
      </c>
      <c r="M20" s="578" t="str">
        <f>+TCOS!O3</f>
        <v xml:space="preserve"> </v>
      </c>
      <c r="P20" s="579"/>
    </row>
    <row r="21" spans="3:17">
      <c r="C21" s="459" t="s">
        <v>56</v>
      </c>
      <c r="D21" s="580">
        <f>TCOS!H249</f>
        <v>0.44756713290339484</v>
      </c>
      <c r="E21" s="460">
        <f>TCOS!J249</f>
        <v>3.8934799380806559E-2</v>
      </c>
      <c r="F21" s="461">
        <f>E21*D21</f>
        <v>1.7425936529036463E-2</v>
      </c>
      <c r="G21" s="461"/>
      <c r="H21" s="451"/>
      <c r="I21" s="453"/>
      <c r="J21" s="462"/>
      <c r="K21" s="462"/>
      <c r="L21" s="526"/>
      <c r="M21" s="47" t="s">
        <v>241</v>
      </c>
      <c r="N21" s="651" t="e">
        <f>+M88+#REF!+#REF!+#REF!+#REF!+#REF!+#REF!+#REF!</f>
        <v>#N/A</v>
      </c>
      <c r="O21" s="651" t="e">
        <f>+N88+#REF!+#REF!+#REF!+#REF!+#REF!+#REF!+#REF!</f>
        <v>#N/A</v>
      </c>
      <c r="P21" s="581" t="e">
        <f>+O21-N21</f>
        <v>#N/A</v>
      </c>
    </row>
    <row r="22" spans="3:17" ht="13.5" thickBot="1">
      <c r="C22" s="459" t="s">
        <v>57</v>
      </c>
      <c r="D22" s="580">
        <f>TCOS!H250</f>
        <v>0</v>
      </c>
      <c r="E22" s="460">
        <f>TCOS!J250</f>
        <v>0</v>
      </c>
      <c r="F22" s="461">
        <f>E22*D22</f>
        <v>0</v>
      </c>
      <c r="G22" s="461"/>
      <c r="H22" s="463"/>
      <c r="I22" s="463"/>
      <c r="J22" s="464"/>
      <c r="K22" s="464"/>
      <c r="L22" s="526"/>
      <c r="M22" s="47" t="s">
        <v>621</v>
      </c>
      <c r="N22" s="652" t="e">
        <f>M89+#REF!+#REF!+#REF!+#REF!+#REF!+#REF!+#REF!+#REF!</f>
        <v>#N/A</v>
      </c>
      <c r="O22" s="652" t="e">
        <f>N89+#REF!+#REF!+#REF!+#REF!+#REF!+#REF!+#REF!+#REF!</f>
        <v>#N/A</v>
      </c>
      <c r="P22" s="582" t="e">
        <f>+O22-N22</f>
        <v>#N/A</v>
      </c>
      <c r="Q22" s="464"/>
    </row>
    <row r="23" spans="3:17">
      <c r="C23" s="459" t="s">
        <v>29</v>
      </c>
      <c r="D23" s="580">
        <f>TCOS!H251</f>
        <v>0.55243286709660511</v>
      </c>
      <c r="E23" s="460">
        <f>+F18</f>
        <v>0.10349999999999999</v>
      </c>
      <c r="F23" s="465">
        <f>E23*D23</f>
        <v>5.7176801744498629E-2</v>
      </c>
      <c r="G23" s="465"/>
      <c r="H23" s="463"/>
      <c r="I23" s="463"/>
      <c r="J23" s="464"/>
      <c r="K23" s="464"/>
      <c r="L23" s="526"/>
      <c r="M23" s="47" t="str">
        <f>"True-up of ARR For "&amp;TCOS!L4&amp;""</f>
        <v>True-up of ARR For 2026</v>
      </c>
      <c r="N23" s="504" t="e">
        <f>+N22-N21</f>
        <v>#N/A</v>
      </c>
      <c r="O23" s="504" t="e">
        <f>+O22-O21</f>
        <v>#N/A</v>
      </c>
      <c r="P23" s="583" t="e">
        <f>+P22-P21</f>
        <v>#N/A</v>
      </c>
      <c r="Q23" s="464"/>
    </row>
    <row r="24" spans="3:17">
      <c r="C24" s="450"/>
      <c r="D24"/>
      <c r="E24" s="466" t="s">
        <v>58</v>
      </c>
      <c r="F24" s="461">
        <f>SUM(F21:F23)</f>
        <v>7.4602738273535085E-2</v>
      </c>
      <c r="G24" s="461"/>
      <c r="H24" s="463"/>
      <c r="I24" s="463"/>
      <c r="J24" s="464"/>
      <c r="K24" s="464"/>
      <c r="L24" s="526"/>
      <c r="P24" s="579"/>
      <c r="Q24" s="464"/>
    </row>
    <row r="25" spans="3:17" ht="13.5" thickBot="1">
      <c r="C25" s="41"/>
      <c r="D25" s="471"/>
      <c r="E25" s="471"/>
      <c r="F25" s="463"/>
      <c r="G25" s="463"/>
      <c r="H25" s="463"/>
      <c r="I25" s="463"/>
      <c r="J25" s="463"/>
      <c r="K25" s="463"/>
      <c r="L25" s="584"/>
      <c r="M25" s="585"/>
      <c r="N25" s="586"/>
      <c r="O25" s="586"/>
      <c r="P25" s="582"/>
      <c r="Q25" s="463"/>
    </row>
    <row r="26" spans="3:17" ht="15.75">
      <c r="C26" s="449" t="str">
        <f>"B.   Determine Return using 'R' with hypothetical "&amp;F17&amp;" basis point ROE increase for Identified Projects."</f>
        <v>B.   Determine Return using 'R' with hypothetical 0 basis point ROE increase for Identified Projects.</v>
      </c>
      <c r="D26" s="471"/>
      <c r="E26" s="471"/>
      <c r="F26" s="463"/>
      <c r="G26" s="463"/>
      <c r="H26" s="463"/>
      <c r="I26" s="451"/>
      <c r="J26" s="463"/>
      <c r="K26" s="463"/>
      <c r="L26" s="463"/>
      <c r="M26" s="463"/>
      <c r="N26" s="463"/>
      <c r="O26" s="463"/>
      <c r="P26" s="463"/>
      <c r="Q26" s="463"/>
    </row>
    <row r="27" spans="3:17">
      <c r="C27" s="453"/>
      <c r="D27" s="471"/>
      <c r="E27" s="471"/>
      <c r="F27" s="463"/>
      <c r="G27" s="463"/>
      <c r="H27" s="463"/>
      <c r="I27" s="463"/>
      <c r="J27" s="463"/>
      <c r="K27" s="463"/>
      <c r="L27" s="463"/>
      <c r="M27" s="463"/>
      <c r="N27" s="463"/>
      <c r="O27" s="463"/>
      <c r="P27" s="463"/>
      <c r="Q27" s="463"/>
    </row>
    <row r="28" spans="3:17">
      <c r="C28" s="450" t="str">
        <f>"   Rate Base  (True-Up TCOS, ln "&amp;TCOS!B118&amp;")"</f>
        <v xml:space="preserve">   Rate Base  (True-Up TCOS, ln 58)</v>
      </c>
      <c r="D28" s="451"/>
      <c r="E28" s="479">
        <f>TCOS!L118</f>
        <v>126723468.81398907</v>
      </c>
      <c r="F28" s="486"/>
      <c r="G28" s="486"/>
      <c r="H28" s="463"/>
      <c r="I28" s="463"/>
      <c r="J28" s="463"/>
      <c r="K28" s="463"/>
      <c r="L28" s="463"/>
      <c r="M28" s="463"/>
      <c r="N28" s="463"/>
      <c r="O28" s="463"/>
      <c r="P28" s="486"/>
      <c r="Q28" s="463"/>
    </row>
    <row r="29" spans="3:17">
      <c r="C29" s="453" t="s">
        <v>60</v>
      </c>
      <c r="D29" s="481"/>
      <c r="E29" s="461">
        <f>F24</f>
        <v>7.4602738273535085E-2</v>
      </c>
      <c r="F29" s="463"/>
      <c r="G29" s="463"/>
      <c r="H29" s="463"/>
      <c r="I29" s="463"/>
      <c r="J29" s="463"/>
      <c r="K29" s="463"/>
      <c r="L29" s="463"/>
      <c r="M29" s="463"/>
      <c r="N29" s="463"/>
      <c r="O29" s="463"/>
      <c r="P29" s="463"/>
      <c r="Q29" s="463"/>
    </row>
    <row r="30" spans="3:17">
      <c r="C30" s="482" t="s">
        <v>61</v>
      </c>
      <c r="D30" s="482"/>
      <c r="E30" s="464">
        <f>E28*E29</f>
        <v>9453917.7770445123</v>
      </c>
      <c r="F30" s="463"/>
      <c r="G30" s="463"/>
      <c r="H30" s="463"/>
      <c r="I30" s="463"/>
      <c r="J30" s="464"/>
      <c r="K30" s="464"/>
      <c r="L30" s="464"/>
      <c r="M30" s="464"/>
      <c r="N30" s="464"/>
      <c r="O30" s="464"/>
      <c r="P30" s="463"/>
      <c r="Q30" s="464"/>
    </row>
    <row r="31" spans="3:17">
      <c r="C31" s="482"/>
      <c r="D31" s="453"/>
      <c r="E31" s="453"/>
      <c r="F31" s="463"/>
      <c r="G31" s="463"/>
      <c r="H31" s="463"/>
      <c r="I31" s="463"/>
      <c r="J31" s="464"/>
      <c r="K31" s="464"/>
      <c r="L31" s="464"/>
      <c r="M31" s="464"/>
      <c r="N31" s="464"/>
      <c r="O31" s="464"/>
      <c r="P31" s="463"/>
      <c r="Q31" s="464"/>
    </row>
    <row r="32" spans="3:17" ht="15.75">
      <c r="C32" s="449" t="str">
        <f>"C.   Determine Income Taxes using Return with hypothetical "&amp;F17&amp;" basis point ROE increase for Identified Projects."</f>
        <v>C.   Determine Income Taxes using Return with hypothetical 0 basis point ROE increase for Identified Projects.</v>
      </c>
      <c r="D32" s="483"/>
      <c r="E32" s="483"/>
      <c r="F32" s="484"/>
      <c r="G32" s="484"/>
      <c r="H32" s="484"/>
      <c r="I32" s="484"/>
      <c r="J32" s="485"/>
      <c r="K32" s="485"/>
      <c r="L32" s="485"/>
      <c r="M32" s="485"/>
      <c r="N32" s="485"/>
      <c r="O32" s="485"/>
      <c r="P32" s="484"/>
      <c r="Q32" s="485"/>
    </row>
    <row r="33" spans="2:17">
      <c r="C33" s="450"/>
      <c r="D33" s="453"/>
      <c r="E33" s="453"/>
      <c r="F33" s="463"/>
      <c r="G33" s="463"/>
      <c r="H33" s="463"/>
      <c r="I33" s="463"/>
      <c r="J33" s="464"/>
      <c r="K33" s="464"/>
      <c r="L33" s="464"/>
      <c r="M33" s="464"/>
      <c r="N33" s="464"/>
      <c r="O33" s="464"/>
      <c r="P33" s="463"/>
      <c r="Q33" s="464"/>
    </row>
    <row r="34" spans="2:17">
      <c r="C34" s="453" t="s">
        <v>62</v>
      </c>
      <c r="D34" s="466"/>
      <c r="E34" s="486">
        <f>E30</f>
        <v>9453917.7770445123</v>
      </c>
      <c r="F34" s="463"/>
      <c r="G34" s="463"/>
      <c r="H34" s="463"/>
      <c r="I34" s="463"/>
      <c r="J34" s="463"/>
      <c r="K34" s="463"/>
      <c r="L34" s="463"/>
      <c r="M34" s="463"/>
      <c r="N34" s="463"/>
      <c r="O34" s="463"/>
      <c r="P34" s="463"/>
      <c r="Q34" s="463"/>
    </row>
    <row r="35" spans="2:17">
      <c r="C35" s="450" t="str">
        <f>"   Effective Tax Rate  (TCOS, ln "&amp;TCOS!B178&amp;")"</f>
        <v xml:space="preserve">   Effective Tax Rate  (TCOS, ln 97)</v>
      </c>
      <c r="D35" s="47"/>
      <c r="E35" s="487">
        <f>TCOS!G178</f>
        <v>0.25377584964972516</v>
      </c>
      <c r="F35" s="3"/>
      <c r="G35" s="3"/>
      <c r="H35" s="3"/>
      <c r="I35" s="488"/>
      <c r="J35" s="3"/>
      <c r="K35" s="3"/>
      <c r="Q35" s="3"/>
    </row>
    <row r="36" spans="2:17">
      <c r="C36" s="482" t="s">
        <v>63</v>
      </c>
      <c r="D36" s="47"/>
      <c r="E36" s="489">
        <f>E34*E35</f>
        <v>2399176.0163881122</v>
      </c>
      <c r="F36" s="3"/>
      <c r="G36" s="3"/>
      <c r="H36" s="3"/>
      <c r="I36" s="488"/>
      <c r="J36" s="3"/>
      <c r="K36" s="3"/>
      <c r="Q36" s="3"/>
    </row>
    <row r="37" spans="2:17" ht="15">
      <c r="C37" s="450" t="s">
        <v>105</v>
      </c>
      <c r="D37" s="134"/>
      <c r="E37" s="463">
        <f>TCOS!L186</f>
        <v>0</v>
      </c>
      <c r="F37" s="134"/>
      <c r="G37" s="134"/>
      <c r="H37" s="134"/>
      <c r="I37" s="134"/>
      <c r="J37" s="134"/>
      <c r="K37" s="134"/>
      <c r="L37" s="134"/>
      <c r="M37" s="134"/>
      <c r="N37" s="134"/>
      <c r="O37" s="134"/>
      <c r="P37" s="148"/>
      <c r="Q37" s="134"/>
    </row>
    <row r="38" spans="2:17" ht="15">
      <c r="C38" s="450" t="s">
        <v>558</v>
      </c>
      <c r="D38" s="134"/>
      <c r="E38" s="463">
        <f>TCOS!L187</f>
        <v>20374.694570535372</v>
      </c>
      <c r="F38" s="134"/>
      <c r="G38" s="134"/>
      <c r="H38" s="134"/>
      <c r="I38" s="134"/>
      <c r="J38" s="134"/>
      <c r="K38" s="134"/>
      <c r="L38" s="134"/>
      <c r="M38" s="134"/>
      <c r="N38" s="134"/>
      <c r="O38" s="134"/>
      <c r="P38" s="148"/>
      <c r="Q38" s="134"/>
    </row>
    <row r="39" spans="2:17" ht="15">
      <c r="C39" s="450" t="s">
        <v>560</v>
      </c>
      <c r="D39" s="134"/>
      <c r="E39" s="587">
        <f>TCOS!L188</f>
        <v>52998.835182321622</v>
      </c>
      <c r="F39" s="134"/>
      <c r="G39" s="134"/>
      <c r="H39" s="134"/>
      <c r="I39" s="134"/>
      <c r="J39" s="134"/>
      <c r="K39" s="134"/>
      <c r="L39" s="134"/>
      <c r="M39" s="134"/>
      <c r="N39" s="134"/>
      <c r="O39" s="134"/>
      <c r="P39" s="148"/>
      <c r="Q39" s="134"/>
    </row>
    <row r="40" spans="2:17" ht="15">
      <c r="C40" s="482" t="s">
        <v>64</v>
      </c>
      <c r="D40" s="134"/>
      <c r="E40" s="463">
        <f>E36+E37+E38+E39</f>
        <v>2472549.5461409693</v>
      </c>
      <c r="F40" s="134"/>
      <c r="G40" s="134"/>
      <c r="H40" s="134"/>
      <c r="I40" s="134"/>
      <c r="J40" s="134"/>
      <c r="K40" s="134"/>
      <c r="L40" s="134"/>
      <c r="M40" s="134"/>
      <c r="N40" s="134"/>
      <c r="O40" s="134"/>
      <c r="P40" s="147"/>
      <c r="Q40" s="134"/>
    </row>
    <row r="41" spans="2:17" ht="12.75" customHeight="1">
      <c r="C41" s="130"/>
      <c r="D41" s="134"/>
      <c r="E41" s="134"/>
      <c r="F41" s="134"/>
      <c r="G41" s="134"/>
      <c r="H41" s="134"/>
      <c r="I41" s="134"/>
      <c r="J41" s="134"/>
      <c r="K41" s="134"/>
      <c r="L41" s="134"/>
      <c r="M41" s="134"/>
      <c r="N41" s="134"/>
      <c r="O41" s="134"/>
      <c r="P41" s="147"/>
      <c r="Q41" s="134"/>
    </row>
    <row r="42" spans="2:17" ht="18.75">
      <c r="B42" s="447" t="s">
        <v>470</v>
      </c>
      <c r="C42" s="6" t="str">
        <f>"Calculate Net Plant Carrying Charge Rate (Fixed Charge Rate or FCR) with hypothetical "&amp;F17&amp;""</f>
        <v>Calculate Net Plant Carrying Charge Rate (Fixed Charge Rate or FCR) with hypothetical 0</v>
      </c>
      <c r="D42" s="134"/>
      <c r="E42" s="134"/>
      <c r="F42" s="134"/>
      <c r="G42" s="134"/>
      <c r="H42" s="134"/>
      <c r="I42" s="134"/>
      <c r="J42" s="134"/>
      <c r="K42" s="134"/>
      <c r="L42" s="134"/>
      <c r="M42" s="134"/>
      <c r="N42" s="134"/>
      <c r="O42" s="134"/>
      <c r="P42" s="147"/>
      <c r="Q42" s="134"/>
    </row>
    <row r="43" spans="2:17" ht="18.75" customHeight="1">
      <c r="C43" s="6" t="str">
        <f>"basis point ROE increase."</f>
        <v>basis point ROE increase.</v>
      </c>
      <c r="D43" s="134"/>
      <c r="E43" s="134"/>
      <c r="F43" s="134"/>
      <c r="G43" s="134"/>
      <c r="H43" s="134"/>
      <c r="I43" s="134"/>
      <c r="J43" s="134"/>
      <c r="K43" s="134"/>
      <c r="L43" s="134"/>
      <c r="M43" s="134"/>
      <c r="N43" s="134"/>
      <c r="O43" s="134"/>
      <c r="P43" s="147"/>
      <c r="Q43" s="134"/>
    </row>
    <row r="44" spans="2:17" ht="12.75" customHeight="1">
      <c r="C44" s="6"/>
      <c r="D44" s="134"/>
      <c r="E44" s="134"/>
      <c r="F44" s="134"/>
      <c r="G44" s="134"/>
      <c r="H44" s="134"/>
      <c r="I44" s="134"/>
      <c r="J44" s="134"/>
      <c r="K44" s="134"/>
      <c r="L44" s="134"/>
      <c r="M44" s="134"/>
      <c r="N44" s="134"/>
      <c r="O44" s="134"/>
      <c r="P44" s="147"/>
      <c r="Q44" s="134"/>
    </row>
    <row r="45" spans="2:17" ht="15.75">
      <c r="C45" s="449" t="s">
        <v>261</v>
      </c>
      <c r="D45" s="134"/>
      <c r="E45" s="134"/>
      <c r="F45" s="130"/>
      <c r="G45" s="130"/>
      <c r="H45" s="134"/>
      <c r="I45" s="134"/>
      <c r="J45" s="134"/>
      <c r="K45" s="134"/>
      <c r="L45" s="134"/>
      <c r="M45" s="134"/>
      <c r="N45" s="134"/>
      <c r="O45" s="134"/>
      <c r="P45" s="147"/>
      <c r="Q45" s="134"/>
    </row>
    <row r="46" spans="2:17">
      <c r="B46" s="3"/>
      <c r="C46" s="450"/>
      <c r="D46" s="451"/>
      <c r="E46" s="451"/>
      <c r="F46" s="451"/>
      <c r="G46" s="451"/>
      <c r="H46" s="451"/>
      <c r="I46" s="451"/>
      <c r="J46" s="451"/>
      <c r="K46" s="451"/>
      <c r="L46" s="451"/>
      <c r="M46" s="451"/>
      <c r="N46" s="451"/>
      <c r="O46" s="451"/>
      <c r="P46" s="463"/>
      <c r="Q46" s="451"/>
    </row>
    <row r="47" spans="2:17" ht="12.75" customHeight="1">
      <c r="B47" s="3"/>
      <c r="C47" s="450" t="str">
        <f>"   Annual Revenue Requirement  (TCOS, ln "&amp;TCOS!B13&amp;")"</f>
        <v xml:space="preserve">   Annual Revenue Requirement  (TCOS, ln 1)</v>
      </c>
      <c r="D47" s="451"/>
      <c r="E47" s="451"/>
      <c r="F47" s="463">
        <f>TCOS!L13</f>
        <v>20234596.054935426</v>
      </c>
      <c r="G47" s="463"/>
      <c r="H47" s="588" t="s">
        <v>414</v>
      </c>
      <c r="I47" s="451"/>
      <c r="J47" s="451"/>
      <c r="K47" s="451"/>
      <c r="L47" s="451"/>
      <c r="M47" s="451"/>
      <c r="N47" s="451"/>
      <c r="O47" s="451"/>
      <c r="P47" s="463"/>
      <c r="Q47" s="451"/>
    </row>
    <row r="48" spans="2:17" ht="12.75" customHeight="1">
      <c r="B48" s="3"/>
      <c r="C48" s="491" t="str">
        <f>"   Lease Payments (TCOS, Lns "&amp;TCOS!B157&amp;")"</f>
        <v xml:space="preserve">   Lease Payments (TCOS, Lns 80)</v>
      </c>
      <c r="D48" s="451"/>
      <c r="E48" s="451"/>
      <c r="F48" s="463">
        <f>TCOS!L157</f>
        <v>0</v>
      </c>
      <c r="G48" s="463"/>
      <c r="H48" s="588"/>
      <c r="I48" s="451"/>
      <c r="J48" s="451"/>
      <c r="K48" s="451"/>
      <c r="L48" s="451"/>
      <c r="M48" s="451"/>
      <c r="N48" s="451"/>
      <c r="O48" s="451"/>
      <c r="P48" s="463"/>
      <c r="Q48" s="451"/>
    </row>
    <row r="49" spans="2:17">
      <c r="B49" s="3"/>
      <c r="C49" s="450" t="str">
        <f>"   Return  (TCOS, ln "&amp;TCOS!B191&amp;")"</f>
        <v xml:space="preserve">   Return  (TCOS, ln 109)</v>
      </c>
      <c r="D49" s="451"/>
      <c r="E49" s="451"/>
      <c r="F49" s="464">
        <f>TCOS!L191</f>
        <v>9434012.2380369809</v>
      </c>
      <c r="G49" s="464"/>
      <c r="H49" s="450"/>
      <c r="I49" s="450"/>
      <c r="J49" s="450"/>
      <c r="K49" s="450"/>
      <c r="L49" s="450"/>
      <c r="M49" s="450"/>
      <c r="N49" s="450"/>
      <c r="O49" s="450"/>
      <c r="P49" s="463"/>
      <c r="Q49" s="450"/>
    </row>
    <row r="50" spans="2:17">
      <c r="B50" s="3"/>
      <c r="C50" s="450" t="str">
        <f>"   Income Taxes  (TCOS, ln "&amp;TCOS!B189&amp;")"</f>
        <v xml:space="preserve">   Income Taxes  (TCOS, ln 108)</v>
      </c>
      <c r="D50" s="451"/>
      <c r="E50" s="451"/>
      <c r="F50" s="492">
        <f>TCOS!L189</f>
        <v>2467498.0010665972</v>
      </c>
      <c r="G50" s="492"/>
      <c r="H50" s="451"/>
      <c r="I50" s="451"/>
      <c r="J50" s="493"/>
      <c r="K50" s="493"/>
      <c r="L50" s="493"/>
      <c r="M50" s="493"/>
      <c r="N50" s="493"/>
      <c r="O50" s="493"/>
      <c r="P50" s="451"/>
      <c r="Q50" s="493"/>
    </row>
    <row r="51" spans="2:17">
      <c r="B51" s="3"/>
      <c r="C51" s="1198" t="s">
        <v>622</v>
      </c>
      <c r="D51" s="1199"/>
      <c r="E51" s="451"/>
      <c r="F51" s="464">
        <f>F47-F49-F50-F48</f>
        <v>8333085.8158318475</v>
      </c>
      <c r="G51" s="464"/>
      <c r="H51" s="494"/>
      <c r="I51" s="451"/>
      <c r="J51" s="494"/>
      <c r="K51" s="494"/>
      <c r="L51" s="494"/>
      <c r="M51" s="494"/>
      <c r="N51" s="494"/>
      <c r="O51" s="494"/>
      <c r="P51" s="494"/>
      <c r="Q51" s="494"/>
    </row>
    <row r="52" spans="2:17">
      <c r="B52" s="3"/>
      <c r="C52" s="1199"/>
      <c r="D52" s="1199"/>
      <c r="E52" s="451"/>
      <c r="F52" s="463"/>
      <c r="G52" s="463"/>
      <c r="H52" s="495"/>
      <c r="I52" s="496"/>
      <c r="J52" s="496"/>
      <c r="K52" s="496"/>
      <c r="L52" s="496"/>
      <c r="M52" s="496"/>
      <c r="N52" s="496"/>
      <c r="O52" s="496"/>
      <c r="P52" s="496"/>
      <c r="Q52" s="496"/>
    </row>
    <row r="53" spans="2:17" ht="15.75">
      <c r="B53" s="3"/>
      <c r="C53" s="449" t="str">
        <f>"B.   Determine Annual Revenue Requirement with hypothetical "&amp;F17&amp;" basis point increase in ROE."</f>
        <v>B.   Determine Annual Revenue Requirement with hypothetical 0 basis point increase in ROE.</v>
      </c>
      <c r="D53" s="453"/>
      <c r="E53" s="453"/>
      <c r="F53" s="463"/>
      <c r="G53" s="463"/>
      <c r="H53" s="495"/>
      <c r="I53" s="496"/>
      <c r="J53" s="496"/>
      <c r="K53" s="496"/>
      <c r="L53" s="496"/>
      <c r="M53" s="496"/>
      <c r="N53" s="496"/>
      <c r="O53" s="496"/>
      <c r="P53" s="496"/>
      <c r="Q53" s="496"/>
    </row>
    <row r="54" spans="2:17">
      <c r="B54" s="3"/>
      <c r="C54" s="450"/>
      <c r="D54" s="453"/>
      <c r="E54" s="453"/>
      <c r="F54" s="463"/>
      <c r="G54" s="463"/>
      <c r="H54" s="495"/>
      <c r="I54" s="496"/>
      <c r="J54" s="496"/>
      <c r="K54" s="496"/>
      <c r="L54" s="496"/>
      <c r="M54" s="496"/>
      <c r="N54" s="496"/>
      <c r="O54" s="496"/>
      <c r="P54" s="496"/>
      <c r="Q54" s="496"/>
    </row>
    <row r="55" spans="2:17">
      <c r="B55" s="3"/>
      <c r="C55" s="491" t="str">
        <f>C51</f>
        <v xml:space="preserve">   Annual Revenue Requirement, Less Lease Payments, Return and Taxes</v>
      </c>
      <c r="D55" s="453"/>
      <c r="E55" s="453"/>
      <c r="F55" s="463">
        <f>F51</f>
        <v>8333085.8158318475</v>
      </c>
      <c r="G55" s="463"/>
      <c r="H55" s="451"/>
      <c r="I55" s="451"/>
      <c r="J55" s="451"/>
      <c r="K55" s="451"/>
      <c r="L55" s="451"/>
      <c r="M55" s="451"/>
      <c r="N55" s="451"/>
      <c r="O55" s="451"/>
      <c r="P55" s="497"/>
      <c r="Q55" s="451"/>
    </row>
    <row r="56" spans="2:17">
      <c r="B56" s="3"/>
      <c r="C56" s="453" t="s">
        <v>102</v>
      </c>
      <c r="D56" s="47"/>
      <c r="E56" s="3"/>
      <c r="F56" s="489">
        <f>E30</f>
        <v>9453917.7770445123</v>
      </c>
      <c r="G56" s="489"/>
      <c r="H56" s="3"/>
      <c r="I56" s="589"/>
      <c r="J56" s="3"/>
      <c r="K56" s="3"/>
      <c r="Q56" s="3"/>
    </row>
    <row r="57" spans="2:17" ht="12.75" customHeight="1">
      <c r="B57" s="3"/>
      <c r="C57" s="450" t="s">
        <v>70</v>
      </c>
      <c r="D57" s="451"/>
      <c r="E57" s="451"/>
      <c r="F57" s="492">
        <f>E40</f>
        <v>2472549.5461409693</v>
      </c>
      <c r="G57" s="492"/>
      <c r="H57" s="3"/>
      <c r="I57" s="488"/>
      <c r="J57" s="3"/>
      <c r="K57" s="3"/>
      <c r="Q57" s="3"/>
    </row>
    <row r="58" spans="2:17">
      <c r="B58" s="3"/>
      <c r="C58" s="3" t="str">
        <f>"   Annual Revenue Requirement, with "&amp;F17&amp;" Basis Point ROE increase"</f>
        <v xml:space="preserve">   Annual Revenue Requirement, with 0 Basis Point ROE increase</v>
      </c>
      <c r="D58" s="47"/>
      <c r="E58" s="3"/>
      <c r="F58" s="489">
        <f>SUM(F55:F57)</f>
        <v>20259553.139017329</v>
      </c>
      <c r="G58" s="489"/>
      <c r="H58" s="3"/>
      <c r="I58" s="488"/>
      <c r="J58" s="3"/>
      <c r="K58" s="3"/>
      <c r="Q58" s="3"/>
    </row>
    <row r="59" spans="2:17">
      <c r="B59" s="3"/>
      <c r="C59" s="450" t="str">
        <f>"   Depreciation  (TCOS, ln "&amp;TCOS!B161&amp;")"</f>
        <v xml:space="preserve">   Depreciation  (TCOS, ln 83)</v>
      </c>
      <c r="D59" s="47"/>
      <c r="E59" s="3"/>
      <c r="F59" s="498">
        <f>TCOS!L161</f>
        <v>3818363.7367100799</v>
      </c>
      <c r="G59" s="498"/>
      <c r="H59" s="489"/>
      <c r="I59" s="488"/>
      <c r="J59" s="3"/>
      <c r="K59" s="3"/>
      <c r="Q59" s="3"/>
    </row>
    <row r="60" spans="2:17">
      <c r="B60" s="3"/>
      <c r="C60" s="1126" t="str">
        <f>"   Annual Rev. Req, w/ "&amp;F17&amp;" Basis Point ROE increase, less Depreciation"</f>
        <v xml:space="preserve">   Annual Rev. Req, w/ 0 Basis Point ROE increase, less Depreciation</v>
      </c>
      <c r="D60" s="1190"/>
      <c r="E60" s="3"/>
      <c r="F60" s="489">
        <f>F58-F59</f>
        <v>16441189.40230725</v>
      </c>
      <c r="G60" s="489"/>
      <c r="H60" s="3"/>
      <c r="I60" s="488"/>
      <c r="J60" s="3"/>
      <c r="K60" s="3"/>
      <c r="Q60" s="3"/>
    </row>
    <row r="61" spans="2:17">
      <c r="B61" s="3"/>
      <c r="C61" s="1190"/>
      <c r="D61" s="1190"/>
      <c r="E61" s="3"/>
      <c r="F61" s="3"/>
      <c r="G61" s="3"/>
      <c r="H61" s="3"/>
      <c r="I61" s="488"/>
      <c r="J61" s="3"/>
      <c r="K61" s="3"/>
      <c r="Q61" s="3"/>
    </row>
    <row r="62" spans="2:17" ht="15.75">
      <c r="B62" s="3"/>
      <c r="C62" s="449" t="str">
        <f>"C.   Determine FCR with hypothetical "&amp;F17&amp;" basis point ROE increase."</f>
        <v>C.   Determine FCR with hypothetical 0 basis point ROE increase.</v>
      </c>
      <c r="D62" s="47"/>
      <c r="E62" s="3"/>
      <c r="F62" s="3"/>
      <c r="G62" s="3"/>
      <c r="H62" s="3"/>
      <c r="I62" s="488"/>
      <c r="J62" s="3"/>
      <c r="K62" s="3"/>
      <c r="Q62" s="3"/>
    </row>
    <row r="63" spans="2:17">
      <c r="B63" s="3"/>
      <c r="C63" s="3"/>
      <c r="D63" s="47"/>
      <c r="E63" s="3"/>
      <c r="F63" s="3"/>
      <c r="G63" s="3"/>
      <c r="H63" s="3"/>
      <c r="I63" s="488"/>
      <c r="J63" s="3"/>
      <c r="K63" s="3"/>
      <c r="Q63" s="3"/>
    </row>
    <row r="64" spans="2:17">
      <c r="B64" s="3"/>
      <c r="C64" s="450" t="str">
        <f>"   Net Transmission Plant  (Projected TCOS, ln "&amp;TCOS!B83&amp;")"</f>
        <v xml:space="preserve">   Net Transmission Plant  (Projected TCOS, ln 33)</v>
      </c>
      <c r="D64" s="47"/>
      <c r="E64" s="3"/>
      <c r="F64" s="489">
        <f>TCOS!L83</f>
        <v>125917698.81306815</v>
      </c>
      <c r="G64" s="489"/>
      <c r="H64" s="489"/>
      <c r="I64" s="590"/>
      <c r="J64" s="3"/>
      <c r="K64" s="3"/>
      <c r="Q64" s="3"/>
    </row>
    <row r="65" spans="2:17">
      <c r="B65" s="3"/>
      <c r="C65" s="3" t="str">
        <f>"   Annual Revenue Requirement, with "&amp;F17&amp;" Basis Point ROE increase"</f>
        <v xml:space="preserve">   Annual Revenue Requirement, with 0 Basis Point ROE increase</v>
      </c>
      <c r="D65" s="47"/>
      <c r="E65" s="3"/>
      <c r="F65" s="489">
        <f>F58</f>
        <v>20259553.139017329</v>
      </c>
      <c r="G65" s="489"/>
      <c r="H65" s="3"/>
      <c r="I65" s="488"/>
      <c r="J65" s="3"/>
      <c r="K65" s="3"/>
      <c r="Q65" s="3"/>
    </row>
    <row r="66" spans="2:17">
      <c r="B66" s="3"/>
      <c r="C66" s="3" t="str">
        <f>"   FCR with "&amp;F17&amp;" Basis Point increase in ROE"</f>
        <v xml:space="preserve">   FCR with 0 Basis Point increase in ROE</v>
      </c>
      <c r="D66" s="47"/>
      <c r="E66" s="3"/>
      <c r="F66" s="487">
        <f>IF(F64=0,0,F65/F64)</f>
        <v>0.16089519845096412</v>
      </c>
      <c r="G66" s="487"/>
      <c r="H66" s="487"/>
      <c r="I66" s="488"/>
      <c r="J66" s="3"/>
      <c r="K66" s="3"/>
      <c r="Q66" s="3"/>
    </row>
    <row r="67" spans="2:17">
      <c r="B67" s="3"/>
      <c r="C67" s="41"/>
      <c r="D67" s="47"/>
      <c r="E67" s="3"/>
      <c r="F67" s="3"/>
      <c r="G67" s="3"/>
      <c r="H67" s="3"/>
      <c r="I67" s="488"/>
      <c r="J67" s="3"/>
      <c r="K67" s="3"/>
      <c r="Q67" s="3"/>
    </row>
    <row r="68" spans="2:17">
      <c r="B68" s="3"/>
      <c r="C68" s="3" t="str">
        <f>"   Annual Rev. Req, w / "&amp;F17&amp;" Basis Point ROE increase, less Dep."</f>
        <v xml:space="preserve">   Annual Rev. Req, w / 0 Basis Point ROE increase, less Dep.</v>
      </c>
      <c r="D68" s="47"/>
      <c r="E68" s="3"/>
      <c r="F68" s="489">
        <f>F60</f>
        <v>16441189.40230725</v>
      </c>
      <c r="G68" s="489"/>
      <c r="H68" s="3"/>
      <c r="I68" s="488"/>
      <c r="J68" s="3"/>
      <c r="K68" s="3"/>
      <c r="Q68" s="3"/>
    </row>
    <row r="69" spans="2:17">
      <c r="B69" s="3"/>
      <c r="C69" s="3" t="str">
        <f>"   FCR with "&amp;F17&amp;" Basis Point ROE increase, less Depreciation"</f>
        <v xml:space="preserve">   FCR with 0 Basis Point ROE increase, less Depreciation</v>
      </c>
      <c r="D69" s="47"/>
      <c r="E69" s="3"/>
      <c r="F69" s="487">
        <f>IF(F68=0,0,F68/F64)</f>
        <v>0.13057091701393869</v>
      </c>
      <c r="G69" s="487"/>
      <c r="H69" s="3"/>
      <c r="I69" s="488"/>
      <c r="J69" s="3"/>
      <c r="K69" s="3"/>
      <c r="Q69" s="3"/>
    </row>
    <row r="70" spans="2:17">
      <c r="B70" s="3"/>
      <c r="C70" s="450" t="str">
        <f>"   FCR less Depreciation  (TCOS, ln "&amp;TCOS!B31&amp;")"</f>
        <v xml:space="preserve">   FCR less Depreciation  (TCOS, ln 10)</v>
      </c>
      <c r="D70" s="47"/>
      <c r="E70" s="3"/>
      <c r="F70" s="500">
        <f>TCOS!L31</f>
        <v>0.13037271545595952</v>
      </c>
      <c r="G70" s="500"/>
      <c r="H70" s="3"/>
      <c r="I70" s="488"/>
      <c r="J70" s="3"/>
      <c r="K70" s="3"/>
      <c r="Q70" s="3"/>
    </row>
    <row r="71" spans="2:17">
      <c r="B71" s="3"/>
      <c r="C71" s="1126" t="str">
        <f>"   Incremental FCR with "&amp;F17&amp;" Basis Point ROE increase, less Depreciation"</f>
        <v xml:space="preserve">   Incremental FCR with 0 Basis Point ROE increase, less Depreciation</v>
      </c>
      <c r="D71" s="1190"/>
      <c r="E71" s="3"/>
      <c r="F71" s="487">
        <f>F69-F70</f>
        <v>1.9820155797917183E-4</v>
      </c>
      <c r="G71" s="487"/>
      <c r="H71" s="3"/>
      <c r="I71" s="488"/>
      <c r="J71" s="3"/>
      <c r="K71" s="3"/>
      <c r="Q71" s="3"/>
    </row>
    <row r="72" spans="2:17">
      <c r="B72" s="3"/>
      <c r="C72" s="1190"/>
      <c r="D72" s="1190"/>
      <c r="E72" s="3"/>
      <c r="F72" s="487"/>
      <c r="G72" s="487"/>
      <c r="H72" s="3"/>
      <c r="I72" s="488"/>
      <c r="J72" s="3"/>
      <c r="K72" s="3"/>
      <c r="Q72" s="3"/>
    </row>
    <row r="73" spans="2:17" ht="18.75">
      <c r="B73" s="447" t="s">
        <v>471</v>
      </c>
      <c r="C73" s="6" t="s">
        <v>71</v>
      </c>
      <c r="D73" s="47"/>
      <c r="E73" s="3"/>
      <c r="F73" s="487"/>
      <c r="G73" s="487"/>
      <c r="H73" s="3"/>
      <c r="I73" s="488"/>
      <c r="J73" s="3"/>
      <c r="K73" s="3"/>
      <c r="Q73" s="3"/>
    </row>
    <row r="74" spans="2:17">
      <c r="B74" s="3"/>
      <c r="C74" s="3"/>
      <c r="D74" s="47"/>
      <c r="E74" s="3"/>
      <c r="F74" s="487"/>
      <c r="G74" s="487"/>
      <c r="H74" s="3"/>
      <c r="I74" s="488"/>
      <c r="J74" s="3"/>
      <c r="K74" s="3"/>
      <c r="Q74" s="3"/>
    </row>
    <row r="75" spans="2:17">
      <c r="B75" s="3"/>
      <c r="C75" s="3" t="str">
        <f>+"Average Transmission Plant Balance for "&amp;TCOS!L4&amp;" TCOS, ln "&amp;TCOS!B63</f>
        <v>Average Transmission Plant Balance for 2026 TCOS, ln 19</v>
      </c>
      <c r="D75" s="47"/>
      <c r="E75" s="3"/>
      <c r="F75" s="3"/>
      <c r="G75" s="3"/>
      <c r="H75" s="488">
        <f>TCOS!L63</f>
        <v>162457315.9030177</v>
      </c>
      <c r="J75" s="3"/>
      <c r="K75" s="3"/>
      <c r="Q75" s="3"/>
    </row>
    <row r="76" spans="2:17">
      <c r="B76" s="3"/>
      <c r="C76" s="3" t="str">
        <f>"Annual Depreciation and Amortization Expense (TCOS, ln "&amp;TCOS!B161&amp;")"</f>
        <v>Annual Depreciation and Amortization Expense (TCOS, ln 83)</v>
      </c>
      <c r="D76" s="47"/>
      <c r="E76" s="3"/>
      <c r="H76" s="342">
        <f>TCOS!L161</f>
        <v>3818363.7367100799</v>
      </c>
      <c r="I76" s="488"/>
      <c r="J76" s="3"/>
      <c r="K76" s="3"/>
      <c r="Q76" s="3"/>
    </row>
    <row r="77" spans="2:17">
      <c r="B77" s="3"/>
      <c r="C77" s="3" t="s">
        <v>72</v>
      </c>
      <c r="D77" s="47"/>
      <c r="E77" s="3"/>
      <c r="H77" s="636">
        <f>H76/H75</f>
        <v>2.3503796769543651E-2</v>
      </c>
      <c r="I77" s="502"/>
      <c r="J77" s="1191" t="str">
        <f>"Note 1:  Until "&amp;A6&amp;" establishes Transmission plant in service the depreciation expense component of the carrying charge will be calculated as in the Operating Company formula approved in Docket No. ER08-1329.  The calculation for "&amp;A6&amp;" is shown on Worksheet P."</f>
        <v>Note 1:  Until AEP Kentucky Transmission Company establishes Transmission plant in service the depreciation expense component of the carrying charge will be calculated as in the Operating Company formula approved in Docket No. ER08-1329.  The calculation for AEP Kentucky Transmission Company is shown on Worksheet P.</v>
      </c>
      <c r="K77" s="1191"/>
      <c r="L77" s="1191"/>
      <c r="M77" s="1191"/>
      <c r="N77" s="1191"/>
      <c r="O77" s="1191"/>
      <c r="P77" s="1191"/>
      <c r="Q77" s="448"/>
    </row>
    <row r="78" spans="2:17">
      <c r="B78" s="3"/>
      <c r="C78" s="3" t="s">
        <v>73</v>
      </c>
      <c r="D78" s="47"/>
      <c r="E78" s="3"/>
      <c r="H78" s="503">
        <f>IF(H77=0,0,1/H77)</f>
        <v>42.546317507978351</v>
      </c>
      <c r="I78" s="488"/>
      <c r="J78" s="1191"/>
      <c r="K78" s="1191"/>
      <c r="L78" s="1191"/>
      <c r="M78" s="1191"/>
      <c r="N78" s="1191"/>
      <c r="O78" s="1191"/>
      <c r="P78" s="1191"/>
      <c r="Q78" s="448"/>
    </row>
    <row r="79" spans="2:17">
      <c r="B79" s="3"/>
      <c r="C79" s="3" t="s">
        <v>596</v>
      </c>
      <c r="D79" s="47"/>
      <c r="E79" s="3"/>
      <c r="H79" s="504">
        <f>ROUND(H78,0)</f>
        <v>43</v>
      </c>
      <c r="I79" s="488"/>
      <c r="J79" s="1191"/>
      <c r="K79" s="1191"/>
      <c r="L79" s="1191"/>
      <c r="M79" s="1191"/>
      <c r="N79" s="1191"/>
      <c r="O79" s="1191"/>
      <c r="P79" s="1191"/>
      <c r="Q79" s="448"/>
    </row>
    <row r="80" spans="2:17">
      <c r="B80" s="3"/>
      <c r="C80" s="3"/>
      <c r="D80" s="47"/>
      <c r="E80" s="3"/>
      <c r="H80" s="504"/>
      <c r="I80" s="488"/>
      <c r="J80" s="1191"/>
      <c r="K80" s="1191"/>
      <c r="L80" s="1191"/>
      <c r="M80" s="1191"/>
      <c r="N80" s="1191"/>
      <c r="O80" s="1191"/>
      <c r="P80" s="1191"/>
    </row>
    <row r="81" spans="1:17" ht="20.25">
      <c r="A81" s="445" t="str">
        <f>""&amp;A6&amp;" Worksheet K -  ATRR TRUE-UP Calculation for PJM Projects Charged to Benefiting Zones"</f>
        <v>AEP Kentucky Transmission Company Worksheet K -  ATRR TRUE-UP Calculation for PJM Projects Charged to Benefiting Zones</v>
      </c>
      <c r="B81" s="3"/>
      <c r="C81" s="3"/>
      <c r="D81" s="47"/>
      <c r="E81" s="3"/>
      <c r="F81" s="487"/>
      <c r="G81" s="487"/>
      <c r="H81" s="3"/>
      <c r="I81" s="488"/>
      <c r="L81" s="396"/>
      <c r="M81" s="396"/>
      <c r="N81" s="396"/>
      <c r="O81" s="396" t="str">
        <f>"Page "&amp;SUM(Q$8:Q81)&amp;" of "</f>
        <v xml:space="preserve">Page 2 of </v>
      </c>
      <c r="P81" s="446">
        <f>COUNT(Q$8:Q$57702)</f>
        <v>2</v>
      </c>
      <c r="Q81" s="506">
        <v>1</v>
      </c>
    </row>
    <row r="82" spans="1:17">
      <c r="B82" s="3"/>
      <c r="C82" s="3"/>
      <c r="D82" s="47"/>
      <c r="E82" s="3"/>
      <c r="F82" s="3"/>
      <c r="G82" s="3"/>
      <c r="H82" s="3"/>
      <c r="I82" s="488"/>
      <c r="J82" s="3"/>
      <c r="K82" s="3"/>
    </row>
    <row r="83" spans="1:17" ht="18">
      <c r="B83" s="447" t="s">
        <v>472</v>
      </c>
      <c r="C83" s="121" t="s">
        <v>93</v>
      </c>
      <c r="D83" s="47"/>
      <c r="E83" s="3"/>
      <c r="F83" s="3"/>
      <c r="G83" s="3"/>
      <c r="H83" s="3"/>
      <c r="I83" s="488"/>
      <c r="J83" s="488"/>
      <c r="K83" s="501"/>
      <c r="L83" s="488"/>
      <c r="M83" s="488"/>
      <c r="N83" s="488"/>
      <c r="O83" s="488"/>
      <c r="Q83" s="3"/>
    </row>
    <row r="84" spans="1:17" ht="18.75">
      <c r="B84" s="447"/>
      <c r="C84" s="6"/>
      <c r="D84" s="47"/>
      <c r="E84" s="3"/>
      <c r="F84" s="3"/>
      <c r="G84" s="3"/>
      <c r="H84" s="3"/>
      <c r="I84" s="488"/>
      <c r="J84" s="488"/>
      <c r="K84" s="501"/>
      <c r="L84" s="488"/>
      <c r="M84" s="488"/>
      <c r="N84" s="488"/>
      <c r="O84" s="488"/>
    </row>
    <row r="85" spans="1:17" ht="18.75">
      <c r="B85" s="447"/>
      <c r="C85" s="6" t="s">
        <v>94</v>
      </c>
      <c r="D85" s="47"/>
      <c r="E85" s="3"/>
      <c r="F85" s="3"/>
      <c r="G85" s="3"/>
      <c r="H85" s="3"/>
      <c r="I85" s="488"/>
      <c r="J85" s="488"/>
      <c r="K85" s="501"/>
      <c r="L85" s="488"/>
      <c r="M85" s="488"/>
      <c r="N85" s="488"/>
      <c r="O85" s="488"/>
    </row>
    <row r="86" spans="1:17" ht="15.75" thickBot="1">
      <c r="C86" s="130"/>
      <c r="D86" s="47"/>
      <c r="E86" s="3"/>
      <c r="F86" s="3"/>
      <c r="G86" s="3"/>
      <c r="H86" s="3"/>
      <c r="I86" s="488"/>
      <c r="J86" s="488"/>
      <c r="K86" s="501"/>
      <c r="L86" s="488"/>
      <c r="M86" s="488"/>
      <c r="N86" s="488"/>
      <c r="O86" s="488"/>
    </row>
    <row r="87" spans="1:17" ht="15.75">
      <c r="C87" s="449" t="s">
        <v>95</v>
      </c>
      <c r="D87" s="47"/>
      <c r="E87" s="3"/>
      <c r="F87" s="3"/>
      <c r="G87" s="3"/>
      <c r="H87" s="564"/>
      <c r="I87" s="3" t="s">
        <v>74</v>
      </c>
      <c r="J87" s="3"/>
      <c r="K87" s="3"/>
      <c r="L87" s="591">
        <f>+J93</f>
        <v>2016</v>
      </c>
      <c r="M87" s="574" t="s">
        <v>52</v>
      </c>
      <c r="N87" s="574" t="s">
        <v>53</v>
      </c>
      <c r="O87" s="575" t="s">
        <v>55</v>
      </c>
    </row>
    <row r="88" spans="1:17" ht="15.75">
      <c r="C88" s="449"/>
      <c r="D88" s="47"/>
      <c r="E88" s="3"/>
      <c r="F88" s="3"/>
      <c r="H88" s="3"/>
      <c r="I88" s="511"/>
      <c r="J88" s="511"/>
      <c r="K88" s="512"/>
      <c r="L88" s="592" t="s">
        <v>243</v>
      </c>
      <c r="M88" s="593" t="e">
        <f>VLOOKUP(J93,C100:P159,10)</f>
        <v>#N/A</v>
      </c>
      <c r="N88" s="593" t="e">
        <f>VLOOKUP(J93,C100:P159,12)</f>
        <v>#N/A</v>
      </c>
      <c r="O88" s="594" t="e">
        <f>+N88-M88</f>
        <v>#N/A</v>
      </c>
    </row>
    <row r="89" spans="1:17">
      <c r="C89" s="516" t="s">
        <v>96</v>
      </c>
      <c r="D89" s="1186"/>
      <c r="E89" s="1186"/>
      <c r="F89" s="1186"/>
      <c r="G89" s="1186"/>
      <c r="H89" s="1186"/>
      <c r="I89" s="1186"/>
      <c r="J89" s="488"/>
      <c r="K89" s="501"/>
      <c r="L89" s="592" t="s">
        <v>244</v>
      </c>
      <c r="M89" s="595" t="e">
        <f>VLOOKUP(J93,C100:P159,6)</f>
        <v>#N/A</v>
      </c>
      <c r="N89" s="595" t="e">
        <f>VLOOKUP(J93,C100:P159,7)</f>
        <v>#N/A</v>
      </c>
      <c r="O89" s="596" t="e">
        <f>+N89-M89</f>
        <v>#N/A</v>
      </c>
    </row>
    <row r="90" spans="1:17" ht="13.5" thickBot="1">
      <c r="C90" s="520"/>
      <c r="D90" s="521"/>
      <c r="E90" s="504"/>
      <c r="F90" s="504"/>
      <c r="G90" s="504"/>
      <c r="H90" s="522"/>
      <c r="I90" s="488"/>
      <c r="J90" s="488"/>
      <c r="K90" s="501"/>
      <c r="L90" s="531" t="s">
        <v>245</v>
      </c>
      <c r="M90" s="597" t="e">
        <f>+M89-M88</f>
        <v>#N/A</v>
      </c>
      <c r="N90" s="597" t="e">
        <f>+N89-N88</f>
        <v>#N/A</v>
      </c>
      <c r="O90" s="598" t="e">
        <f>+O89-O88</f>
        <v>#N/A</v>
      </c>
    </row>
    <row r="91" spans="1:17" ht="13.5" thickBot="1">
      <c r="C91" s="520"/>
      <c r="D91" s="3"/>
      <c r="E91" s="522"/>
      <c r="F91" s="522"/>
      <c r="G91" s="522"/>
      <c r="H91" s="522"/>
      <c r="I91" s="522"/>
      <c r="J91" s="522"/>
      <c r="K91" s="522"/>
      <c r="L91" s="522"/>
      <c r="M91" s="522"/>
      <c r="N91" s="522"/>
      <c r="O91" s="522"/>
    </row>
    <row r="92" spans="1:17" ht="13.5" thickBot="1">
      <c r="C92" s="523" t="s">
        <v>97</v>
      </c>
      <c r="D92" s="524"/>
      <c r="E92" s="524"/>
      <c r="F92" s="524"/>
      <c r="G92" s="524"/>
      <c r="H92" s="524"/>
      <c r="I92" s="524"/>
      <c r="J92" s="524"/>
    </row>
    <row r="93" spans="1:17" ht="15">
      <c r="C93" s="526" t="s">
        <v>75</v>
      </c>
      <c r="D93" s="566"/>
      <c r="E93" s="3" t="s">
        <v>76</v>
      </c>
      <c r="H93" s="47"/>
      <c r="I93" s="47"/>
      <c r="J93" s="527">
        <v>2016</v>
      </c>
      <c r="K93" s="70"/>
      <c r="L93" s="1188" t="s">
        <v>77</v>
      </c>
      <c r="M93" s="1188"/>
      <c r="N93" s="1188"/>
      <c r="O93" s="1188"/>
    </row>
    <row r="94" spans="1:17">
      <c r="C94" s="526" t="s">
        <v>78</v>
      </c>
      <c r="D94" s="567"/>
      <c r="E94" s="526" t="s">
        <v>79</v>
      </c>
      <c r="F94" s="47"/>
      <c r="G94" s="47"/>
      <c r="I94"/>
      <c r="J94" s="568">
        <f>IF(H87="",0,$F$17)</f>
        <v>0</v>
      </c>
      <c r="K94" s="528"/>
      <c r="L94" s="501" t="s">
        <v>285</v>
      </c>
    </row>
    <row r="95" spans="1:17">
      <c r="C95" s="526" t="s">
        <v>80</v>
      </c>
      <c r="D95" s="566"/>
      <c r="E95" s="526" t="s">
        <v>81</v>
      </c>
      <c r="F95" s="47"/>
      <c r="G95" s="47"/>
      <c r="I95"/>
      <c r="J95" s="529">
        <f>$F$70</f>
        <v>0.13037271545595952</v>
      </c>
      <c r="K95" s="487"/>
      <c r="L95" s="3" t="str">
        <f>"          INPUT TRUE-UP ARR (WITH &amp; WITHOUT INCENTIVES) FROM EACH PRIOR YEAR"</f>
        <v xml:space="preserve">          INPUT TRUE-UP ARR (WITH &amp; WITHOUT INCENTIVES) FROM EACH PRIOR YEAR</v>
      </c>
    </row>
    <row r="96" spans="1:17">
      <c r="C96" s="526" t="s">
        <v>82</v>
      </c>
      <c r="D96" s="530">
        <f>H$79</f>
        <v>43</v>
      </c>
      <c r="E96" s="526" t="s">
        <v>83</v>
      </c>
      <c r="F96" s="47"/>
      <c r="G96" s="47"/>
      <c r="I96"/>
      <c r="J96" s="529">
        <f>IF(H87="",+J95,$F$69)</f>
        <v>0.13037271545595952</v>
      </c>
      <c r="K96" s="487"/>
      <c r="L96" s="3" t="s">
        <v>165</v>
      </c>
      <c r="M96" s="487"/>
      <c r="N96" s="487"/>
      <c r="O96" s="487"/>
    </row>
    <row r="97" spans="2:16" ht="13.5" thickBot="1">
      <c r="C97" s="526" t="s">
        <v>84</v>
      </c>
      <c r="D97" s="565"/>
      <c r="E97" s="531" t="s">
        <v>85</v>
      </c>
      <c r="F97" s="532"/>
      <c r="G97" s="532"/>
      <c r="H97" s="533"/>
      <c r="I97" s="533"/>
      <c r="J97" s="519">
        <f>IF(D93=0,0,D93/D96)</f>
        <v>0</v>
      </c>
      <c r="K97" s="501"/>
      <c r="L97" s="501" t="s">
        <v>166</v>
      </c>
      <c r="M97" s="501"/>
      <c r="N97" s="501"/>
      <c r="O97" s="501"/>
    </row>
    <row r="98" spans="2:16" ht="38.25">
      <c r="B98" s="448"/>
      <c r="C98" s="534" t="s">
        <v>75</v>
      </c>
      <c r="D98" s="535" t="s">
        <v>86</v>
      </c>
      <c r="E98" s="536" t="s">
        <v>87</v>
      </c>
      <c r="F98" s="535" t="s">
        <v>88</v>
      </c>
      <c r="G98" s="535" t="s">
        <v>246</v>
      </c>
      <c r="H98" s="536" t="s">
        <v>159</v>
      </c>
      <c r="I98" s="537" t="s">
        <v>159</v>
      </c>
      <c r="J98" s="534" t="s">
        <v>98</v>
      </c>
      <c r="K98" s="538"/>
      <c r="L98" s="536" t="s">
        <v>161</v>
      </c>
      <c r="M98" s="536" t="s">
        <v>167</v>
      </c>
      <c r="N98" s="536" t="s">
        <v>161</v>
      </c>
      <c r="O98" s="536" t="s">
        <v>169</v>
      </c>
      <c r="P98" s="536" t="s">
        <v>89</v>
      </c>
    </row>
    <row r="99" spans="2:16" ht="13.5" thickBot="1">
      <c r="C99" s="540" t="s">
        <v>475</v>
      </c>
      <c r="D99" s="541" t="s">
        <v>476</v>
      </c>
      <c r="E99" s="540" t="s">
        <v>369</v>
      </c>
      <c r="F99" s="541" t="s">
        <v>476</v>
      </c>
      <c r="G99" s="541" t="s">
        <v>476</v>
      </c>
      <c r="H99" s="542" t="s">
        <v>101</v>
      </c>
      <c r="I99" s="543" t="s">
        <v>103</v>
      </c>
      <c r="J99" s="540" t="s">
        <v>15</v>
      </c>
      <c r="K99" s="544"/>
      <c r="L99" s="542" t="s">
        <v>90</v>
      </c>
      <c r="M99" s="542" t="s">
        <v>90</v>
      </c>
      <c r="N99" s="542" t="s">
        <v>263</v>
      </c>
      <c r="O99" s="542" t="s">
        <v>263</v>
      </c>
      <c r="P99" s="542" t="s">
        <v>263</v>
      </c>
    </row>
    <row r="100" spans="2:16">
      <c r="C100" s="546" t="str">
        <f>IF(D94= "","-",D94)</f>
        <v>-</v>
      </c>
      <c r="D100" s="504">
        <f>+D93</f>
        <v>0</v>
      </c>
      <c r="E100" s="552">
        <f>+J97/12*(12-D95)</f>
        <v>0</v>
      </c>
      <c r="F100" s="599">
        <f t="shared" ref="F100:F159" si="0">+D100-E100</f>
        <v>0</v>
      </c>
      <c r="G100" s="504">
        <f>+(D100+F100)/2</f>
        <v>0</v>
      </c>
      <c r="H100" s="548">
        <f>+J95*G100+E100</f>
        <v>0</v>
      </c>
      <c r="I100" s="549">
        <f>+J96*G100+E100</f>
        <v>0</v>
      </c>
      <c r="J100" s="550">
        <f>+I100-H100</f>
        <v>0</v>
      </c>
      <c r="K100" s="550"/>
      <c r="L100" s="569"/>
      <c r="M100" s="600">
        <f t="shared" ref="M100:M159" si="1">IF(L100&lt;&gt;0,+H100-L100,0)</f>
        <v>0</v>
      </c>
      <c r="N100" s="569"/>
      <c r="O100" s="600">
        <f t="shared" ref="O100:O159" si="2">IF(N100&lt;&gt;0,+I100-N100,0)</f>
        <v>0</v>
      </c>
      <c r="P100" s="600">
        <f t="shared" ref="P100:P159" si="3">+O100-M100</f>
        <v>0</v>
      </c>
    </row>
    <row r="101" spans="2:16">
      <c r="C101" s="546" t="str">
        <f>IF(D94="","-",+C100+1)</f>
        <v>-</v>
      </c>
      <c r="D101" s="504">
        <f t="shared" ref="D101:D159" si="4">F100</f>
        <v>0</v>
      </c>
      <c r="E101" s="547">
        <f>IF(D101&gt;$J$97,$J$97,D101)</f>
        <v>0</v>
      </c>
      <c r="F101" s="547">
        <f t="shared" si="0"/>
        <v>0</v>
      </c>
      <c r="G101" s="504">
        <f t="shared" ref="G101:G159" si="5">+(D101+F101)/2</f>
        <v>0</v>
      </c>
      <c r="H101" s="552">
        <f>+J95*G101+E101</f>
        <v>0</v>
      </c>
      <c r="I101" s="553">
        <f>+J96*G101+E101</f>
        <v>0</v>
      </c>
      <c r="J101" s="550">
        <f>+I101-H101</f>
        <v>0</v>
      </c>
      <c r="K101" s="550"/>
      <c r="L101" s="570"/>
      <c r="M101" s="550">
        <f t="shared" si="1"/>
        <v>0</v>
      </c>
      <c r="N101" s="570"/>
      <c r="O101" s="550">
        <f t="shared" si="2"/>
        <v>0</v>
      </c>
      <c r="P101" s="550">
        <f t="shared" si="3"/>
        <v>0</v>
      </c>
    </row>
    <row r="102" spans="2:16">
      <c r="C102" s="546" t="str">
        <f>IF(D94="","-",+C101+1)</f>
        <v>-</v>
      </c>
      <c r="D102" s="504">
        <f t="shared" si="4"/>
        <v>0</v>
      </c>
      <c r="E102" s="547">
        <f t="shared" ref="E102:E159" si="6">IF(D102&gt;$J$97,$J$97,D102)</f>
        <v>0</v>
      </c>
      <c r="F102" s="547">
        <f t="shared" si="0"/>
        <v>0</v>
      </c>
      <c r="G102" s="504">
        <f t="shared" si="5"/>
        <v>0</v>
      </c>
      <c r="H102" s="552">
        <f>+J95*G102+E102</f>
        <v>0</v>
      </c>
      <c r="I102" s="553">
        <f>+J96*G102+E102</f>
        <v>0</v>
      </c>
      <c r="J102" s="550">
        <f t="shared" ref="J102:J159" si="7">+I102-H102</f>
        <v>0</v>
      </c>
      <c r="K102" s="550"/>
      <c r="L102" s="570"/>
      <c r="M102" s="550">
        <f t="shared" si="1"/>
        <v>0</v>
      </c>
      <c r="N102" s="570"/>
      <c r="O102" s="550">
        <f t="shared" si="2"/>
        <v>0</v>
      </c>
      <c r="P102" s="550">
        <f t="shared" si="3"/>
        <v>0</v>
      </c>
    </row>
    <row r="103" spans="2:16">
      <c r="C103" s="546" t="str">
        <f>IF(D94="","-",+C102+1)</f>
        <v>-</v>
      </c>
      <c r="D103" s="504">
        <f t="shared" si="4"/>
        <v>0</v>
      </c>
      <c r="E103" s="547">
        <f t="shared" si="6"/>
        <v>0</v>
      </c>
      <c r="F103" s="547">
        <f t="shared" si="0"/>
        <v>0</v>
      </c>
      <c r="G103" s="504">
        <f t="shared" si="5"/>
        <v>0</v>
      </c>
      <c r="H103" s="552">
        <f>+J95*G103+E103</f>
        <v>0</v>
      </c>
      <c r="I103" s="553">
        <f>+J96*G103+E103</f>
        <v>0</v>
      </c>
      <c r="J103" s="550">
        <f t="shared" si="7"/>
        <v>0</v>
      </c>
      <c r="K103" s="550"/>
      <c r="L103" s="570"/>
      <c r="M103" s="550">
        <f t="shared" si="1"/>
        <v>0</v>
      </c>
      <c r="N103" s="570"/>
      <c r="O103" s="550">
        <f t="shared" si="2"/>
        <v>0</v>
      </c>
      <c r="P103" s="550">
        <f t="shared" si="3"/>
        <v>0</v>
      </c>
    </row>
    <row r="104" spans="2:16">
      <c r="C104" s="546" t="str">
        <f>IF(D94="","-",+C103+1)</f>
        <v>-</v>
      </c>
      <c r="D104" s="504">
        <f t="shared" si="4"/>
        <v>0</v>
      </c>
      <c r="E104" s="547">
        <f t="shared" si="6"/>
        <v>0</v>
      </c>
      <c r="F104" s="547">
        <f t="shared" si="0"/>
        <v>0</v>
      </c>
      <c r="G104" s="504">
        <f t="shared" si="5"/>
        <v>0</v>
      </c>
      <c r="H104" s="552">
        <f>+J95*G104+E104</f>
        <v>0</v>
      </c>
      <c r="I104" s="553">
        <f>+J96*G104+E104</f>
        <v>0</v>
      </c>
      <c r="J104" s="550">
        <f t="shared" si="7"/>
        <v>0</v>
      </c>
      <c r="K104" s="550"/>
      <c r="L104" s="570"/>
      <c r="M104" s="550">
        <f t="shared" si="1"/>
        <v>0</v>
      </c>
      <c r="N104" s="570"/>
      <c r="O104" s="550">
        <f t="shared" si="2"/>
        <v>0</v>
      </c>
      <c r="P104" s="550">
        <f t="shared" si="3"/>
        <v>0</v>
      </c>
    </row>
    <row r="105" spans="2:16">
      <c r="C105" s="546" t="str">
        <f>IF(D94="","-",+C104+1)</f>
        <v>-</v>
      </c>
      <c r="D105" s="504">
        <f t="shared" si="4"/>
        <v>0</v>
      </c>
      <c r="E105" s="547">
        <f t="shared" si="6"/>
        <v>0</v>
      </c>
      <c r="F105" s="547">
        <f t="shared" si="0"/>
        <v>0</v>
      </c>
      <c r="G105" s="504">
        <f t="shared" si="5"/>
        <v>0</v>
      </c>
      <c r="H105" s="552">
        <f>+J95*G105+E105</f>
        <v>0</v>
      </c>
      <c r="I105" s="553">
        <f>+J96*G105+E105</f>
        <v>0</v>
      </c>
      <c r="J105" s="550">
        <f t="shared" si="7"/>
        <v>0</v>
      </c>
      <c r="K105" s="550"/>
      <c r="L105" s="570"/>
      <c r="M105" s="550">
        <f t="shared" si="1"/>
        <v>0</v>
      </c>
      <c r="N105" s="570"/>
      <c r="O105" s="550">
        <f t="shared" si="2"/>
        <v>0</v>
      </c>
      <c r="P105" s="550">
        <f t="shared" si="3"/>
        <v>0</v>
      </c>
    </row>
    <row r="106" spans="2:16">
      <c r="C106" s="546" t="str">
        <f>IF(D94="","-",+C105+1)</f>
        <v>-</v>
      </c>
      <c r="D106" s="504">
        <f t="shared" si="4"/>
        <v>0</v>
      </c>
      <c r="E106" s="547">
        <f t="shared" si="6"/>
        <v>0</v>
      </c>
      <c r="F106" s="547">
        <f t="shared" si="0"/>
        <v>0</v>
      </c>
      <c r="G106" s="504">
        <f t="shared" si="5"/>
        <v>0</v>
      </c>
      <c r="H106" s="552">
        <f>+J95*G106+E106</f>
        <v>0</v>
      </c>
      <c r="I106" s="553">
        <f>+J96*G106+E106</f>
        <v>0</v>
      </c>
      <c r="J106" s="550">
        <f t="shared" si="7"/>
        <v>0</v>
      </c>
      <c r="K106" s="550"/>
      <c r="L106" s="570"/>
      <c r="M106" s="550">
        <f t="shared" si="1"/>
        <v>0</v>
      </c>
      <c r="N106" s="570"/>
      <c r="O106" s="550">
        <f t="shared" si="2"/>
        <v>0</v>
      </c>
      <c r="P106" s="550">
        <f t="shared" si="3"/>
        <v>0</v>
      </c>
    </row>
    <row r="107" spans="2:16">
      <c r="C107" s="546" t="str">
        <f>IF(D94="","-",+C106+1)</f>
        <v>-</v>
      </c>
      <c r="D107" s="504">
        <f t="shared" si="4"/>
        <v>0</v>
      </c>
      <c r="E107" s="547">
        <f t="shared" si="6"/>
        <v>0</v>
      </c>
      <c r="F107" s="547">
        <f t="shared" si="0"/>
        <v>0</v>
      </c>
      <c r="G107" s="504">
        <f t="shared" si="5"/>
        <v>0</v>
      </c>
      <c r="H107" s="552">
        <f>+J95*G107+E107</f>
        <v>0</v>
      </c>
      <c r="I107" s="553">
        <f>+J96*G107+E107</f>
        <v>0</v>
      </c>
      <c r="J107" s="550">
        <f t="shared" si="7"/>
        <v>0</v>
      </c>
      <c r="K107" s="550"/>
      <c r="L107" s="570"/>
      <c r="M107" s="550">
        <f t="shared" si="1"/>
        <v>0</v>
      </c>
      <c r="N107" s="570"/>
      <c r="O107" s="550">
        <f t="shared" si="2"/>
        <v>0</v>
      </c>
      <c r="P107" s="550">
        <f t="shared" si="3"/>
        <v>0</v>
      </c>
    </row>
    <row r="108" spans="2:16">
      <c r="C108" s="546" t="str">
        <f>IF(D94="","-",+C107+1)</f>
        <v>-</v>
      </c>
      <c r="D108" s="504">
        <f t="shared" si="4"/>
        <v>0</v>
      </c>
      <c r="E108" s="547">
        <f t="shared" si="6"/>
        <v>0</v>
      </c>
      <c r="F108" s="547">
        <f t="shared" si="0"/>
        <v>0</v>
      </c>
      <c r="G108" s="504">
        <f t="shared" si="5"/>
        <v>0</v>
      </c>
      <c r="H108" s="552">
        <f>+J95*G108+E108</f>
        <v>0</v>
      </c>
      <c r="I108" s="553">
        <f>+J96*G108+E108</f>
        <v>0</v>
      </c>
      <c r="J108" s="550">
        <f t="shared" si="7"/>
        <v>0</v>
      </c>
      <c r="K108" s="550"/>
      <c r="L108" s="570"/>
      <c r="M108" s="550">
        <f t="shared" si="1"/>
        <v>0</v>
      </c>
      <c r="N108" s="570"/>
      <c r="O108" s="550">
        <f t="shared" si="2"/>
        <v>0</v>
      </c>
      <c r="P108" s="550">
        <f t="shared" si="3"/>
        <v>0</v>
      </c>
    </row>
    <row r="109" spans="2:16">
      <c r="C109" s="546" t="str">
        <f>IF(D94="","-",+C108+1)</f>
        <v>-</v>
      </c>
      <c r="D109" s="504">
        <f t="shared" si="4"/>
        <v>0</v>
      </c>
      <c r="E109" s="547">
        <f t="shared" si="6"/>
        <v>0</v>
      </c>
      <c r="F109" s="547">
        <f t="shared" si="0"/>
        <v>0</v>
      </c>
      <c r="G109" s="504">
        <f t="shared" si="5"/>
        <v>0</v>
      </c>
      <c r="H109" s="552">
        <f>+J95*G109+E109</f>
        <v>0</v>
      </c>
      <c r="I109" s="553">
        <f>+J96*G109+E109</f>
        <v>0</v>
      </c>
      <c r="J109" s="550">
        <f t="shared" si="7"/>
        <v>0</v>
      </c>
      <c r="K109" s="550"/>
      <c r="L109" s="570"/>
      <c r="M109" s="550">
        <f t="shared" si="1"/>
        <v>0</v>
      </c>
      <c r="N109" s="570"/>
      <c r="O109" s="550">
        <f t="shared" si="2"/>
        <v>0</v>
      </c>
      <c r="P109" s="550">
        <f t="shared" si="3"/>
        <v>0</v>
      </c>
    </row>
    <row r="110" spans="2:16">
      <c r="C110" s="546" t="str">
        <f>IF(D94="","-",+C109+1)</f>
        <v>-</v>
      </c>
      <c r="D110" s="504">
        <f t="shared" si="4"/>
        <v>0</v>
      </c>
      <c r="E110" s="547">
        <f t="shared" si="6"/>
        <v>0</v>
      </c>
      <c r="F110" s="547">
        <f t="shared" si="0"/>
        <v>0</v>
      </c>
      <c r="G110" s="504">
        <f t="shared" si="5"/>
        <v>0</v>
      </c>
      <c r="H110" s="552">
        <f>+J95*G110+E110</f>
        <v>0</v>
      </c>
      <c r="I110" s="553">
        <f>+J96*G110+E110</f>
        <v>0</v>
      </c>
      <c r="J110" s="550">
        <f t="shared" si="7"/>
        <v>0</v>
      </c>
      <c r="K110" s="550"/>
      <c r="L110" s="570"/>
      <c r="M110" s="550">
        <f t="shared" si="1"/>
        <v>0</v>
      </c>
      <c r="N110" s="570"/>
      <c r="O110" s="550">
        <f t="shared" si="2"/>
        <v>0</v>
      </c>
      <c r="P110" s="550">
        <f t="shared" si="3"/>
        <v>0</v>
      </c>
    </row>
    <row r="111" spans="2:16">
      <c r="C111" s="546" t="str">
        <f>IF(D94="","-",+C110+1)</f>
        <v>-</v>
      </c>
      <c r="D111" s="504">
        <f t="shared" si="4"/>
        <v>0</v>
      </c>
      <c r="E111" s="547">
        <f t="shared" si="6"/>
        <v>0</v>
      </c>
      <c r="F111" s="547">
        <f t="shared" si="0"/>
        <v>0</v>
      </c>
      <c r="G111" s="504">
        <f t="shared" si="5"/>
        <v>0</v>
      </c>
      <c r="H111" s="552">
        <f>+J95*G111+E111</f>
        <v>0</v>
      </c>
      <c r="I111" s="553">
        <f>+J96*G111+E111</f>
        <v>0</v>
      </c>
      <c r="J111" s="550">
        <f t="shared" si="7"/>
        <v>0</v>
      </c>
      <c r="K111" s="550"/>
      <c r="L111" s="570"/>
      <c r="M111" s="550">
        <f t="shared" si="1"/>
        <v>0</v>
      </c>
      <c r="N111" s="570"/>
      <c r="O111" s="550">
        <f t="shared" si="2"/>
        <v>0</v>
      </c>
      <c r="P111" s="550">
        <f t="shared" si="3"/>
        <v>0</v>
      </c>
    </row>
    <row r="112" spans="2:16">
      <c r="C112" s="546" t="str">
        <f>IF(D94="","-",+C111+1)</f>
        <v>-</v>
      </c>
      <c r="D112" s="504">
        <f t="shared" si="4"/>
        <v>0</v>
      </c>
      <c r="E112" s="547">
        <f t="shared" si="6"/>
        <v>0</v>
      </c>
      <c r="F112" s="547">
        <f t="shared" si="0"/>
        <v>0</v>
      </c>
      <c r="G112" s="504">
        <f t="shared" si="5"/>
        <v>0</v>
      </c>
      <c r="H112" s="552">
        <f>+J95*G112+E112</f>
        <v>0</v>
      </c>
      <c r="I112" s="553">
        <f>+J96*G112+E112</f>
        <v>0</v>
      </c>
      <c r="J112" s="550">
        <f t="shared" si="7"/>
        <v>0</v>
      </c>
      <c r="K112" s="550"/>
      <c r="L112" s="570"/>
      <c r="M112" s="550">
        <f t="shared" si="1"/>
        <v>0</v>
      </c>
      <c r="N112" s="570"/>
      <c r="O112" s="550">
        <f t="shared" si="2"/>
        <v>0</v>
      </c>
      <c r="P112" s="550">
        <f t="shared" si="3"/>
        <v>0</v>
      </c>
    </row>
    <row r="113" spans="3:16">
      <c r="C113" s="546" t="str">
        <f>IF(D94="","-",+C112+1)</f>
        <v>-</v>
      </c>
      <c r="D113" s="504">
        <f t="shared" si="4"/>
        <v>0</v>
      </c>
      <c r="E113" s="547">
        <f t="shared" si="6"/>
        <v>0</v>
      </c>
      <c r="F113" s="547">
        <f t="shared" si="0"/>
        <v>0</v>
      </c>
      <c r="G113" s="504">
        <f t="shared" si="5"/>
        <v>0</v>
      </c>
      <c r="H113" s="552">
        <f>+J95*G113+E113</f>
        <v>0</v>
      </c>
      <c r="I113" s="553">
        <f>+J96*G113+E113</f>
        <v>0</v>
      </c>
      <c r="J113" s="550">
        <f t="shared" si="7"/>
        <v>0</v>
      </c>
      <c r="K113" s="550"/>
      <c r="L113" s="570"/>
      <c r="M113" s="550">
        <f t="shared" si="1"/>
        <v>0</v>
      </c>
      <c r="N113" s="570"/>
      <c r="O113" s="550">
        <f t="shared" si="2"/>
        <v>0</v>
      </c>
      <c r="P113" s="550">
        <f t="shared" si="3"/>
        <v>0</v>
      </c>
    </row>
    <row r="114" spans="3:16">
      <c r="C114" s="546" t="str">
        <f>IF(D94="","-",+C113+1)</f>
        <v>-</v>
      </c>
      <c r="D114" s="504">
        <f t="shared" si="4"/>
        <v>0</v>
      </c>
      <c r="E114" s="547">
        <f t="shared" si="6"/>
        <v>0</v>
      </c>
      <c r="F114" s="547">
        <f t="shared" si="0"/>
        <v>0</v>
      </c>
      <c r="G114" s="504">
        <f t="shared" si="5"/>
        <v>0</v>
      </c>
      <c r="H114" s="552">
        <f>+J95*G114+E114</f>
        <v>0</v>
      </c>
      <c r="I114" s="553">
        <f>+J96*G114+E114</f>
        <v>0</v>
      </c>
      <c r="J114" s="550">
        <f t="shared" si="7"/>
        <v>0</v>
      </c>
      <c r="K114" s="550"/>
      <c r="L114" s="570"/>
      <c r="M114" s="550">
        <f t="shared" si="1"/>
        <v>0</v>
      </c>
      <c r="N114" s="570"/>
      <c r="O114" s="550">
        <f t="shared" si="2"/>
        <v>0</v>
      </c>
      <c r="P114" s="550">
        <f t="shared" si="3"/>
        <v>0</v>
      </c>
    </row>
    <row r="115" spans="3:16">
      <c r="C115" s="546" t="str">
        <f>IF(D94="","-",+C114+1)</f>
        <v>-</v>
      </c>
      <c r="D115" s="504">
        <f t="shared" si="4"/>
        <v>0</v>
      </c>
      <c r="E115" s="547">
        <f t="shared" si="6"/>
        <v>0</v>
      </c>
      <c r="F115" s="547">
        <f t="shared" si="0"/>
        <v>0</v>
      </c>
      <c r="G115" s="504">
        <f t="shared" si="5"/>
        <v>0</v>
      </c>
      <c r="H115" s="552">
        <f>+J95*G115+E115</f>
        <v>0</v>
      </c>
      <c r="I115" s="553">
        <f>+J96*G115+E115</f>
        <v>0</v>
      </c>
      <c r="J115" s="550">
        <f t="shared" si="7"/>
        <v>0</v>
      </c>
      <c r="K115" s="550"/>
      <c r="L115" s="570"/>
      <c r="M115" s="550">
        <f t="shared" si="1"/>
        <v>0</v>
      </c>
      <c r="N115" s="570"/>
      <c r="O115" s="550">
        <f t="shared" si="2"/>
        <v>0</v>
      </c>
      <c r="P115" s="550">
        <f t="shared" si="3"/>
        <v>0</v>
      </c>
    </row>
    <row r="116" spans="3:16">
      <c r="C116" s="546" t="str">
        <f>IF(D94="","-",+C115+1)</f>
        <v>-</v>
      </c>
      <c r="D116" s="504">
        <f t="shared" si="4"/>
        <v>0</v>
      </c>
      <c r="E116" s="547">
        <f t="shared" si="6"/>
        <v>0</v>
      </c>
      <c r="F116" s="547">
        <f t="shared" si="0"/>
        <v>0</v>
      </c>
      <c r="G116" s="504">
        <f t="shared" si="5"/>
        <v>0</v>
      </c>
      <c r="H116" s="552">
        <f>+J95*G116+E116</f>
        <v>0</v>
      </c>
      <c r="I116" s="553">
        <f>+J96*G116+E116</f>
        <v>0</v>
      </c>
      <c r="J116" s="550">
        <f t="shared" si="7"/>
        <v>0</v>
      </c>
      <c r="K116" s="550"/>
      <c r="L116" s="570"/>
      <c r="M116" s="550">
        <f t="shared" si="1"/>
        <v>0</v>
      </c>
      <c r="N116" s="570"/>
      <c r="O116" s="550">
        <f t="shared" si="2"/>
        <v>0</v>
      </c>
      <c r="P116" s="550">
        <f t="shared" si="3"/>
        <v>0</v>
      </c>
    </row>
    <row r="117" spans="3:16">
      <c r="C117" s="546" t="str">
        <f>IF(D94="","-",+C116+1)</f>
        <v>-</v>
      </c>
      <c r="D117" s="504">
        <f t="shared" si="4"/>
        <v>0</v>
      </c>
      <c r="E117" s="547">
        <f t="shared" si="6"/>
        <v>0</v>
      </c>
      <c r="F117" s="547">
        <f t="shared" si="0"/>
        <v>0</v>
      </c>
      <c r="G117" s="504">
        <f t="shared" si="5"/>
        <v>0</v>
      </c>
      <c r="H117" s="552">
        <f>+J95*G117+E117</f>
        <v>0</v>
      </c>
      <c r="I117" s="553">
        <f>+J96*G117+E117</f>
        <v>0</v>
      </c>
      <c r="J117" s="550">
        <f t="shared" si="7"/>
        <v>0</v>
      </c>
      <c r="K117" s="550"/>
      <c r="L117" s="570"/>
      <c r="M117" s="550">
        <f t="shared" si="1"/>
        <v>0</v>
      </c>
      <c r="N117" s="570"/>
      <c r="O117" s="550">
        <f t="shared" si="2"/>
        <v>0</v>
      </c>
      <c r="P117" s="550">
        <f t="shared" si="3"/>
        <v>0</v>
      </c>
    </row>
    <row r="118" spans="3:16">
      <c r="C118" s="546" t="str">
        <f>IF(D94="","-",+C117+1)</f>
        <v>-</v>
      </c>
      <c r="D118" s="504">
        <f t="shared" si="4"/>
        <v>0</v>
      </c>
      <c r="E118" s="547">
        <f t="shared" si="6"/>
        <v>0</v>
      </c>
      <c r="F118" s="547">
        <f t="shared" si="0"/>
        <v>0</v>
      </c>
      <c r="G118" s="504">
        <f t="shared" si="5"/>
        <v>0</v>
      </c>
      <c r="H118" s="552">
        <f>+J95*G118+E118</f>
        <v>0</v>
      </c>
      <c r="I118" s="553">
        <f>+J96*G118+E118</f>
        <v>0</v>
      </c>
      <c r="J118" s="550">
        <f t="shared" si="7"/>
        <v>0</v>
      </c>
      <c r="K118" s="550"/>
      <c r="L118" s="570"/>
      <c r="M118" s="550">
        <f t="shared" si="1"/>
        <v>0</v>
      </c>
      <c r="N118" s="570"/>
      <c r="O118" s="550">
        <f t="shared" si="2"/>
        <v>0</v>
      </c>
      <c r="P118" s="550">
        <f t="shared" si="3"/>
        <v>0</v>
      </c>
    </row>
    <row r="119" spans="3:16">
      <c r="C119" s="546" t="str">
        <f>IF(D94="","-",+C118+1)</f>
        <v>-</v>
      </c>
      <c r="D119" s="504">
        <f t="shared" si="4"/>
        <v>0</v>
      </c>
      <c r="E119" s="547">
        <f t="shared" si="6"/>
        <v>0</v>
      </c>
      <c r="F119" s="547">
        <f t="shared" si="0"/>
        <v>0</v>
      </c>
      <c r="G119" s="504">
        <f t="shared" si="5"/>
        <v>0</v>
      </c>
      <c r="H119" s="552">
        <f>+J95*G119+E119</f>
        <v>0</v>
      </c>
      <c r="I119" s="553">
        <f>+J96*G119+E119</f>
        <v>0</v>
      </c>
      <c r="J119" s="550">
        <f t="shared" si="7"/>
        <v>0</v>
      </c>
      <c r="K119" s="550"/>
      <c r="L119" s="570"/>
      <c r="M119" s="550">
        <f t="shared" si="1"/>
        <v>0</v>
      </c>
      <c r="N119" s="570"/>
      <c r="O119" s="550">
        <f t="shared" si="2"/>
        <v>0</v>
      </c>
      <c r="P119" s="550">
        <f t="shared" si="3"/>
        <v>0</v>
      </c>
    </row>
    <row r="120" spans="3:16">
      <c r="C120" s="546" t="str">
        <f>IF(D94="","-",+C119+1)</f>
        <v>-</v>
      </c>
      <c r="D120" s="504">
        <f t="shared" si="4"/>
        <v>0</v>
      </c>
      <c r="E120" s="547">
        <f t="shared" si="6"/>
        <v>0</v>
      </c>
      <c r="F120" s="547">
        <f t="shared" si="0"/>
        <v>0</v>
      </c>
      <c r="G120" s="504">
        <f t="shared" si="5"/>
        <v>0</v>
      </c>
      <c r="H120" s="552">
        <f>+J95*G120+E120</f>
        <v>0</v>
      </c>
      <c r="I120" s="553">
        <f>+J96*G120+E120</f>
        <v>0</v>
      </c>
      <c r="J120" s="550">
        <f t="shared" si="7"/>
        <v>0</v>
      </c>
      <c r="K120" s="550"/>
      <c r="L120" s="570"/>
      <c r="M120" s="550">
        <f t="shared" si="1"/>
        <v>0</v>
      </c>
      <c r="N120" s="570"/>
      <c r="O120" s="550">
        <f t="shared" si="2"/>
        <v>0</v>
      </c>
      <c r="P120" s="550">
        <f t="shared" si="3"/>
        <v>0</v>
      </c>
    </row>
    <row r="121" spans="3:16">
      <c r="C121" s="546" t="str">
        <f>IF(D94="","-",+C120+1)</f>
        <v>-</v>
      </c>
      <c r="D121" s="504">
        <f t="shared" si="4"/>
        <v>0</v>
      </c>
      <c r="E121" s="547">
        <f t="shared" si="6"/>
        <v>0</v>
      </c>
      <c r="F121" s="547">
        <f t="shared" si="0"/>
        <v>0</v>
      </c>
      <c r="G121" s="504">
        <f t="shared" si="5"/>
        <v>0</v>
      </c>
      <c r="H121" s="552">
        <f>+J95*G121+E121</f>
        <v>0</v>
      </c>
      <c r="I121" s="553">
        <f>+J96*G121+E121</f>
        <v>0</v>
      </c>
      <c r="J121" s="550">
        <f t="shared" si="7"/>
        <v>0</v>
      </c>
      <c r="K121" s="550"/>
      <c r="L121" s="570"/>
      <c r="M121" s="550">
        <f t="shared" si="1"/>
        <v>0</v>
      </c>
      <c r="N121" s="570"/>
      <c r="O121" s="550">
        <f t="shared" si="2"/>
        <v>0</v>
      </c>
      <c r="P121" s="550">
        <f t="shared" si="3"/>
        <v>0</v>
      </c>
    </row>
    <row r="122" spans="3:16">
      <c r="C122" s="546" t="str">
        <f>IF(D94="","-",+C121+1)</f>
        <v>-</v>
      </c>
      <c r="D122" s="504">
        <f t="shared" si="4"/>
        <v>0</v>
      </c>
      <c r="E122" s="547">
        <f t="shared" si="6"/>
        <v>0</v>
      </c>
      <c r="F122" s="547">
        <f t="shared" si="0"/>
        <v>0</v>
      </c>
      <c r="G122" s="504">
        <f t="shared" si="5"/>
        <v>0</v>
      </c>
      <c r="H122" s="552">
        <f>+J95*G122+E122</f>
        <v>0</v>
      </c>
      <c r="I122" s="553">
        <f>+J96*G122+E122</f>
        <v>0</v>
      </c>
      <c r="J122" s="550">
        <f t="shared" si="7"/>
        <v>0</v>
      </c>
      <c r="K122" s="550"/>
      <c r="L122" s="570"/>
      <c r="M122" s="550">
        <f t="shared" si="1"/>
        <v>0</v>
      </c>
      <c r="N122" s="570"/>
      <c r="O122" s="550">
        <f t="shared" si="2"/>
        <v>0</v>
      </c>
      <c r="P122" s="550">
        <f t="shared" si="3"/>
        <v>0</v>
      </c>
    </row>
    <row r="123" spans="3:16">
      <c r="C123" s="546" t="str">
        <f>IF(D94="","-",+C122+1)</f>
        <v>-</v>
      </c>
      <c r="D123" s="504">
        <f t="shared" si="4"/>
        <v>0</v>
      </c>
      <c r="E123" s="547">
        <f t="shared" si="6"/>
        <v>0</v>
      </c>
      <c r="F123" s="547">
        <f t="shared" si="0"/>
        <v>0</v>
      </c>
      <c r="G123" s="504">
        <f t="shared" si="5"/>
        <v>0</v>
      </c>
      <c r="H123" s="552">
        <f>+J95*G123+E123</f>
        <v>0</v>
      </c>
      <c r="I123" s="553">
        <f>+J96*G123+E123</f>
        <v>0</v>
      </c>
      <c r="J123" s="550">
        <f t="shared" si="7"/>
        <v>0</v>
      </c>
      <c r="K123" s="550"/>
      <c r="L123" s="570"/>
      <c r="M123" s="550">
        <f t="shared" si="1"/>
        <v>0</v>
      </c>
      <c r="N123" s="570"/>
      <c r="O123" s="550">
        <f t="shared" si="2"/>
        <v>0</v>
      </c>
      <c r="P123" s="550">
        <f t="shared" si="3"/>
        <v>0</v>
      </c>
    </row>
    <row r="124" spans="3:16">
      <c r="C124" s="546" t="str">
        <f>IF(D94="","-",+C123+1)</f>
        <v>-</v>
      </c>
      <c r="D124" s="504">
        <f t="shared" si="4"/>
        <v>0</v>
      </c>
      <c r="E124" s="547">
        <f t="shared" si="6"/>
        <v>0</v>
      </c>
      <c r="F124" s="547">
        <f t="shared" si="0"/>
        <v>0</v>
      </c>
      <c r="G124" s="504">
        <f t="shared" si="5"/>
        <v>0</v>
      </c>
      <c r="H124" s="552">
        <f>+J95*G124+E124</f>
        <v>0</v>
      </c>
      <c r="I124" s="553">
        <f>+J96*G124+E124</f>
        <v>0</v>
      </c>
      <c r="J124" s="550">
        <f t="shared" si="7"/>
        <v>0</v>
      </c>
      <c r="K124" s="550"/>
      <c r="L124" s="570"/>
      <c r="M124" s="550">
        <f t="shared" si="1"/>
        <v>0</v>
      </c>
      <c r="N124" s="570"/>
      <c r="O124" s="550">
        <f t="shared" si="2"/>
        <v>0</v>
      </c>
      <c r="P124" s="550">
        <f t="shared" si="3"/>
        <v>0</v>
      </c>
    </row>
    <row r="125" spans="3:16">
      <c r="C125" s="546" t="str">
        <f>IF(D94="","-",+C124+1)</f>
        <v>-</v>
      </c>
      <c r="D125" s="504">
        <f t="shared" si="4"/>
        <v>0</v>
      </c>
      <c r="E125" s="547">
        <f t="shared" si="6"/>
        <v>0</v>
      </c>
      <c r="F125" s="547">
        <f t="shared" si="0"/>
        <v>0</v>
      </c>
      <c r="G125" s="504">
        <f t="shared" si="5"/>
        <v>0</v>
      </c>
      <c r="H125" s="552">
        <f>+J95*G125+E125</f>
        <v>0</v>
      </c>
      <c r="I125" s="553">
        <f>+J96*G125+E125</f>
        <v>0</v>
      </c>
      <c r="J125" s="550">
        <f t="shared" si="7"/>
        <v>0</v>
      </c>
      <c r="K125" s="550"/>
      <c r="L125" s="570"/>
      <c r="M125" s="550">
        <f t="shared" si="1"/>
        <v>0</v>
      </c>
      <c r="N125" s="570"/>
      <c r="O125" s="550">
        <f t="shared" si="2"/>
        <v>0</v>
      </c>
      <c r="P125" s="550">
        <f t="shared" si="3"/>
        <v>0</v>
      </c>
    </row>
    <row r="126" spans="3:16">
      <c r="C126" s="546" t="str">
        <f>IF(D94="","-",+C125+1)</f>
        <v>-</v>
      </c>
      <c r="D126" s="504">
        <f t="shared" si="4"/>
        <v>0</v>
      </c>
      <c r="E126" s="547">
        <f t="shared" si="6"/>
        <v>0</v>
      </c>
      <c r="F126" s="547">
        <f t="shared" si="0"/>
        <v>0</v>
      </c>
      <c r="G126" s="504">
        <f t="shared" si="5"/>
        <v>0</v>
      </c>
      <c r="H126" s="552">
        <f>+J95*G126+E126</f>
        <v>0</v>
      </c>
      <c r="I126" s="553">
        <f>+J96*G126+E126</f>
        <v>0</v>
      </c>
      <c r="J126" s="550">
        <f t="shared" si="7"/>
        <v>0</v>
      </c>
      <c r="K126" s="550"/>
      <c r="L126" s="570"/>
      <c r="M126" s="550">
        <f t="shared" si="1"/>
        <v>0</v>
      </c>
      <c r="N126" s="570"/>
      <c r="O126" s="550">
        <f t="shared" si="2"/>
        <v>0</v>
      </c>
      <c r="P126" s="550">
        <f t="shared" si="3"/>
        <v>0</v>
      </c>
    </row>
    <row r="127" spans="3:16">
      <c r="C127" s="546" t="str">
        <f>IF(D94="","-",+C126+1)</f>
        <v>-</v>
      </c>
      <c r="D127" s="504">
        <f t="shared" si="4"/>
        <v>0</v>
      </c>
      <c r="E127" s="547">
        <f t="shared" si="6"/>
        <v>0</v>
      </c>
      <c r="F127" s="547">
        <f t="shared" si="0"/>
        <v>0</v>
      </c>
      <c r="G127" s="504">
        <f t="shared" si="5"/>
        <v>0</v>
      </c>
      <c r="H127" s="552">
        <f>+J95*G127+E127</f>
        <v>0</v>
      </c>
      <c r="I127" s="553">
        <f>+J96*G127+E127</f>
        <v>0</v>
      </c>
      <c r="J127" s="550">
        <f t="shared" si="7"/>
        <v>0</v>
      </c>
      <c r="K127" s="550"/>
      <c r="L127" s="570"/>
      <c r="M127" s="550">
        <f t="shared" si="1"/>
        <v>0</v>
      </c>
      <c r="N127" s="570"/>
      <c r="O127" s="550">
        <f t="shared" si="2"/>
        <v>0</v>
      </c>
      <c r="P127" s="550">
        <f t="shared" si="3"/>
        <v>0</v>
      </c>
    </row>
    <row r="128" spans="3:16">
      <c r="C128" s="546" t="str">
        <f>IF(D94="","-",+C127+1)</f>
        <v>-</v>
      </c>
      <c r="D128" s="504">
        <f t="shared" si="4"/>
        <v>0</v>
      </c>
      <c r="E128" s="547">
        <f t="shared" si="6"/>
        <v>0</v>
      </c>
      <c r="F128" s="547">
        <f t="shared" si="0"/>
        <v>0</v>
      </c>
      <c r="G128" s="504">
        <f t="shared" si="5"/>
        <v>0</v>
      </c>
      <c r="H128" s="552">
        <f>+J95*G128+E128</f>
        <v>0</v>
      </c>
      <c r="I128" s="553">
        <f>+J96*G128+E128</f>
        <v>0</v>
      </c>
      <c r="J128" s="550">
        <f t="shared" si="7"/>
        <v>0</v>
      </c>
      <c r="K128" s="550"/>
      <c r="L128" s="570"/>
      <c r="M128" s="550">
        <f t="shared" si="1"/>
        <v>0</v>
      </c>
      <c r="N128" s="570"/>
      <c r="O128" s="550">
        <f t="shared" si="2"/>
        <v>0</v>
      </c>
      <c r="P128" s="550">
        <f t="shared" si="3"/>
        <v>0</v>
      </c>
    </row>
    <row r="129" spans="3:16">
      <c r="C129" s="546" t="str">
        <f>IF(D94="","-",+C128+1)</f>
        <v>-</v>
      </c>
      <c r="D129" s="504">
        <f t="shared" si="4"/>
        <v>0</v>
      </c>
      <c r="E129" s="547">
        <f t="shared" si="6"/>
        <v>0</v>
      </c>
      <c r="F129" s="547">
        <f t="shared" si="0"/>
        <v>0</v>
      </c>
      <c r="G129" s="504">
        <f t="shared" si="5"/>
        <v>0</v>
      </c>
      <c r="H129" s="552">
        <f>+J95*G129+E129</f>
        <v>0</v>
      </c>
      <c r="I129" s="553">
        <f>+J96*G129+E129</f>
        <v>0</v>
      </c>
      <c r="J129" s="550">
        <f t="shared" si="7"/>
        <v>0</v>
      </c>
      <c r="K129" s="550"/>
      <c r="L129" s="570"/>
      <c r="M129" s="550">
        <f t="shared" si="1"/>
        <v>0</v>
      </c>
      <c r="N129" s="570"/>
      <c r="O129" s="550">
        <f t="shared" si="2"/>
        <v>0</v>
      </c>
      <c r="P129" s="550">
        <f t="shared" si="3"/>
        <v>0</v>
      </c>
    </row>
    <row r="130" spans="3:16">
      <c r="C130" s="546" t="str">
        <f>IF(D94="","-",+C129+1)</f>
        <v>-</v>
      </c>
      <c r="D130" s="504">
        <f t="shared" si="4"/>
        <v>0</v>
      </c>
      <c r="E130" s="547">
        <f t="shared" si="6"/>
        <v>0</v>
      </c>
      <c r="F130" s="547">
        <f t="shared" si="0"/>
        <v>0</v>
      </c>
      <c r="G130" s="504">
        <f t="shared" si="5"/>
        <v>0</v>
      </c>
      <c r="H130" s="552">
        <f>+J95*G130+E130</f>
        <v>0</v>
      </c>
      <c r="I130" s="553">
        <f>+J96*G130+E130</f>
        <v>0</v>
      </c>
      <c r="J130" s="550">
        <f t="shared" si="7"/>
        <v>0</v>
      </c>
      <c r="K130" s="550"/>
      <c r="L130" s="570"/>
      <c r="M130" s="550">
        <f t="shared" si="1"/>
        <v>0</v>
      </c>
      <c r="N130" s="570"/>
      <c r="O130" s="550">
        <f t="shared" si="2"/>
        <v>0</v>
      </c>
      <c r="P130" s="550">
        <f t="shared" si="3"/>
        <v>0</v>
      </c>
    </row>
    <row r="131" spans="3:16">
      <c r="C131" s="546" t="str">
        <f>IF(D94="","-",+C130+1)</f>
        <v>-</v>
      </c>
      <c r="D131" s="504">
        <f t="shared" si="4"/>
        <v>0</v>
      </c>
      <c r="E131" s="547">
        <f t="shared" si="6"/>
        <v>0</v>
      </c>
      <c r="F131" s="547">
        <f t="shared" si="0"/>
        <v>0</v>
      </c>
      <c r="G131" s="504">
        <f t="shared" si="5"/>
        <v>0</v>
      </c>
      <c r="H131" s="552">
        <f>+J95*G131+E131</f>
        <v>0</v>
      </c>
      <c r="I131" s="553">
        <f>+J96*G131+E131</f>
        <v>0</v>
      </c>
      <c r="J131" s="550">
        <f t="shared" si="7"/>
        <v>0</v>
      </c>
      <c r="K131" s="550"/>
      <c r="L131" s="570"/>
      <c r="M131" s="550">
        <f t="shared" si="1"/>
        <v>0</v>
      </c>
      <c r="N131" s="570"/>
      <c r="O131" s="550">
        <f t="shared" si="2"/>
        <v>0</v>
      </c>
      <c r="P131" s="550">
        <f t="shared" si="3"/>
        <v>0</v>
      </c>
    </row>
    <row r="132" spans="3:16">
      <c r="C132" s="546" t="str">
        <f>IF(D94="","-",+C131+1)</f>
        <v>-</v>
      </c>
      <c r="D132" s="504">
        <f t="shared" si="4"/>
        <v>0</v>
      </c>
      <c r="E132" s="547">
        <f t="shared" si="6"/>
        <v>0</v>
      </c>
      <c r="F132" s="547">
        <f t="shared" si="0"/>
        <v>0</v>
      </c>
      <c r="G132" s="504">
        <f t="shared" si="5"/>
        <v>0</v>
      </c>
      <c r="H132" s="552">
        <f>+J95*G132+E132</f>
        <v>0</v>
      </c>
      <c r="I132" s="553">
        <f>+J96*G132+E132</f>
        <v>0</v>
      </c>
      <c r="J132" s="550">
        <f t="shared" si="7"/>
        <v>0</v>
      </c>
      <c r="K132" s="550"/>
      <c r="L132" s="570"/>
      <c r="M132" s="550">
        <f t="shared" si="1"/>
        <v>0</v>
      </c>
      <c r="N132" s="570"/>
      <c r="O132" s="550">
        <f t="shared" si="2"/>
        <v>0</v>
      </c>
      <c r="P132" s="550">
        <f t="shared" si="3"/>
        <v>0</v>
      </c>
    </row>
    <row r="133" spans="3:16">
      <c r="C133" s="546" t="str">
        <f>IF(D94="","-",+C132+1)</f>
        <v>-</v>
      </c>
      <c r="D133" s="504">
        <f t="shared" si="4"/>
        <v>0</v>
      </c>
      <c r="E133" s="547">
        <f t="shared" si="6"/>
        <v>0</v>
      </c>
      <c r="F133" s="547">
        <f t="shared" si="0"/>
        <v>0</v>
      </c>
      <c r="G133" s="504">
        <f t="shared" si="5"/>
        <v>0</v>
      </c>
      <c r="H133" s="552">
        <f>+J95*G133+E133</f>
        <v>0</v>
      </c>
      <c r="I133" s="553">
        <f>+J96*G133+E133</f>
        <v>0</v>
      </c>
      <c r="J133" s="550">
        <f t="shared" si="7"/>
        <v>0</v>
      </c>
      <c r="K133" s="550"/>
      <c r="L133" s="570"/>
      <c r="M133" s="550">
        <f t="shared" si="1"/>
        <v>0</v>
      </c>
      <c r="N133" s="570"/>
      <c r="O133" s="550">
        <f t="shared" si="2"/>
        <v>0</v>
      </c>
      <c r="P133" s="550">
        <f t="shared" si="3"/>
        <v>0</v>
      </c>
    </row>
    <row r="134" spans="3:16">
      <c r="C134" s="546" t="str">
        <f>IF(D94="","-",+C133+1)</f>
        <v>-</v>
      </c>
      <c r="D134" s="504">
        <f t="shared" si="4"/>
        <v>0</v>
      </c>
      <c r="E134" s="547">
        <f t="shared" si="6"/>
        <v>0</v>
      </c>
      <c r="F134" s="547">
        <f t="shared" si="0"/>
        <v>0</v>
      </c>
      <c r="G134" s="504">
        <f t="shared" si="5"/>
        <v>0</v>
      </c>
      <c r="H134" s="552">
        <f>+J95*G134+E134</f>
        <v>0</v>
      </c>
      <c r="I134" s="553">
        <f>+J96*G134+E134</f>
        <v>0</v>
      </c>
      <c r="J134" s="550">
        <f t="shared" si="7"/>
        <v>0</v>
      </c>
      <c r="K134" s="550"/>
      <c r="L134" s="570"/>
      <c r="M134" s="550">
        <f t="shared" si="1"/>
        <v>0</v>
      </c>
      <c r="N134" s="570"/>
      <c r="O134" s="550">
        <f t="shared" si="2"/>
        <v>0</v>
      </c>
      <c r="P134" s="550">
        <f t="shared" si="3"/>
        <v>0</v>
      </c>
    </row>
    <row r="135" spans="3:16">
      <c r="C135" s="546" t="str">
        <f>IF(D94="","-",+C134+1)</f>
        <v>-</v>
      </c>
      <c r="D135" s="504">
        <f t="shared" si="4"/>
        <v>0</v>
      </c>
      <c r="E135" s="547">
        <f t="shared" si="6"/>
        <v>0</v>
      </c>
      <c r="F135" s="547">
        <f t="shared" si="0"/>
        <v>0</v>
      </c>
      <c r="G135" s="504">
        <f t="shared" si="5"/>
        <v>0</v>
      </c>
      <c r="H135" s="552">
        <f>+J95*G135+E135</f>
        <v>0</v>
      </c>
      <c r="I135" s="553">
        <f>+J96*G135+E135</f>
        <v>0</v>
      </c>
      <c r="J135" s="550">
        <f t="shared" si="7"/>
        <v>0</v>
      </c>
      <c r="K135" s="550"/>
      <c r="L135" s="570"/>
      <c r="M135" s="550">
        <f t="shared" si="1"/>
        <v>0</v>
      </c>
      <c r="N135" s="570"/>
      <c r="O135" s="550">
        <f t="shared" si="2"/>
        <v>0</v>
      </c>
      <c r="P135" s="550">
        <f t="shared" si="3"/>
        <v>0</v>
      </c>
    </row>
    <row r="136" spans="3:16">
      <c r="C136" s="546" t="str">
        <f>IF(D94="","-",+C135+1)</f>
        <v>-</v>
      </c>
      <c r="D136" s="504">
        <f t="shared" si="4"/>
        <v>0</v>
      </c>
      <c r="E136" s="547">
        <f t="shared" si="6"/>
        <v>0</v>
      </c>
      <c r="F136" s="547">
        <f t="shared" si="0"/>
        <v>0</v>
      </c>
      <c r="G136" s="504">
        <f t="shared" si="5"/>
        <v>0</v>
      </c>
      <c r="H136" s="552">
        <f>+J95*G136+E136</f>
        <v>0</v>
      </c>
      <c r="I136" s="553">
        <f>+J96*G136+E136</f>
        <v>0</v>
      </c>
      <c r="J136" s="550">
        <f t="shared" si="7"/>
        <v>0</v>
      </c>
      <c r="K136" s="550"/>
      <c r="L136" s="570"/>
      <c r="M136" s="550">
        <f t="shared" si="1"/>
        <v>0</v>
      </c>
      <c r="N136" s="570"/>
      <c r="O136" s="550">
        <f t="shared" si="2"/>
        <v>0</v>
      </c>
      <c r="P136" s="550">
        <f t="shared" si="3"/>
        <v>0</v>
      </c>
    </row>
    <row r="137" spans="3:16">
      <c r="C137" s="546" t="str">
        <f>IF(D94="","-",+C136+1)</f>
        <v>-</v>
      </c>
      <c r="D137" s="504">
        <f t="shared" si="4"/>
        <v>0</v>
      </c>
      <c r="E137" s="547">
        <f t="shared" si="6"/>
        <v>0</v>
      </c>
      <c r="F137" s="547">
        <f t="shared" si="0"/>
        <v>0</v>
      </c>
      <c r="G137" s="504">
        <f t="shared" si="5"/>
        <v>0</v>
      </c>
      <c r="H137" s="552">
        <f>+J95*G137+E137</f>
        <v>0</v>
      </c>
      <c r="I137" s="553">
        <f>+J96*G137+E137</f>
        <v>0</v>
      </c>
      <c r="J137" s="550">
        <f t="shared" si="7"/>
        <v>0</v>
      </c>
      <c r="K137" s="550"/>
      <c r="L137" s="570"/>
      <c r="M137" s="550">
        <f t="shared" si="1"/>
        <v>0</v>
      </c>
      <c r="N137" s="570"/>
      <c r="O137" s="550">
        <f t="shared" si="2"/>
        <v>0</v>
      </c>
      <c r="P137" s="550">
        <f t="shared" si="3"/>
        <v>0</v>
      </c>
    </row>
    <row r="138" spans="3:16">
      <c r="C138" s="546" t="str">
        <f>IF(D94="","-",+C137+1)</f>
        <v>-</v>
      </c>
      <c r="D138" s="504">
        <f t="shared" si="4"/>
        <v>0</v>
      </c>
      <c r="E138" s="547">
        <f t="shared" si="6"/>
        <v>0</v>
      </c>
      <c r="F138" s="547">
        <f t="shared" si="0"/>
        <v>0</v>
      </c>
      <c r="G138" s="504">
        <f t="shared" si="5"/>
        <v>0</v>
      </c>
      <c r="H138" s="552">
        <f>+J95*G138+E138</f>
        <v>0</v>
      </c>
      <c r="I138" s="553">
        <f>+J96*G138+E138</f>
        <v>0</v>
      </c>
      <c r="J138" s="550">
        <f t="shared" si="7"/>
        <v>0</v>
      </c>
      <c r="K138" s="550"/>
      <c r="L138" s="570"/>
      <c r="M138" s="550">
        <f t="shared" si="1"/>
        <v>0</v>
      </c>
      <c r="N138" s="570"/>
      <c r="O138" s="550">
        <f t="shared" si="2"/>
        <v>0</v>
      </c>
      <c r="P138" s="550">
        <f t="shared" si="3"/>
        <v>0</v>
      </c>
    </row>
    <row r="139" spans="3:16">
      <c r="C139" s="546" t="str">
        <f>IF(D94="","-",+C138+1)</f>
        <v>-</v>
      </c>
      <c r="D139" s="504">
        <f t="shared" si="4"/>
        <v>0</v>
      </c>
      <c r="E139" s="547">
        <f t="shared" si="6"/>
        <v>0</v>
      </c>
      <c r="F139" s="547">
        <f t="shared" si="0"/>
        <v>0</v>
      </c>
      <c r="G139" s="504">
        <f t="shared" si="5"/>
        <v>0</v>
      </c>
      <c r="H139" s="552">
        <f>+J95*G139+E139</f>
        <v>0</v>
      </c>
      <c r="I139" s="553">
        <f>+J96*G139+E139</f>
        <v>0</v>
      </c>
      <c r="J139" s="550">
        <f t="shared" si="7"/>
        <v>0</v>
      </c>
      <c r="K139" s="550"/>
      <c r="L139" s="570"/>
      <c r="M139" s="550">
        <f t="shared" si="1"/>
        <v>0</v>
      </c>
      <c r="N139" s="570"/>
      <c r="O139" s="550">
        <f t="shared" si="2"/>
        <v>0</v>
      </c>
      <c r="P139" s="550">
        <f t="shared" si="3"/>
        <v>0</v>
      </c>
    </row>
    <row r="140" spans="3:16">
      <c r="C140" s="546" t="str">
        <f>IF(D94="","-",+C139+1)</f>
        <v>-</v>
      </c>
      <c r="D140" s="504">
        <f t="shared" si="4"/>
        <v>0</v>
      </c>
      <c r="E140" s="547">
        <f t="shared" si="6"/>
        <v>0</v>
      </c>
      <c r="F140" s="547">
        <f t="shared" si="0"/>
        <v>0</v>
      </c>
      <c r="G140" s="504">
        <f t="shared" si="5"/>
        <v>0</v>
      </c>
      <c r="H140" s="552">
        <f>+J95*G140+E140</f>
        <v>0</v>
      </c>
      <c r="I140" s="553">
        <f>+J96*G140+E140</f>
        <v>0</v>
      </c>
      <c r="J140" s="550">
        <f t="shared" si="7"/>
        <v>0</v>
      </c>
      <c r="K140" s="550"/>
      <c r="L140" s="570"/>
      <c r="M140" s="550">
        <f t="shared" si="1"/>
        <v>0</v>
      </c>
      <c r="N140" s="570"/>
      <c r="O140" s="550">
        <f t="shared" si="2"/>
        <v>0</v>
      </c>
      <c r="P140" s="550">
        <f t="shared" si="3"/>
        <v>0</v>
      </c>
    </row>
    <row r="141" spans="3:16">
      <c r="C141" s="546" t="str">
        <f>IF(D94="","-",+C140+1)</f>
        <v>-</v>
      </c>
      <c r="D141" s="504">
        <f t="shared" si="4"/>
        <v>0</v>
      </c>
      <c r="E141" s="547">
        <f t="shared" si="6"/>
        <v>0</v>
      </c>
      <c r="F141" s="547">
        <f t="shared" si="0"/>
        <v>0</v>
      </c>
      <c r="G141" s="504">
        <f t="shared" si="5"/>
        <v>0</v>
      </c>
      <c r="H141" s="552">
        <f>+J95*G141+E141</f>
        <v>0</v>
      </c>
      <c r="I141" s="553">
        <f>+J96*G141+E141</f>
        <v>0</v>
      </c>
      <c r="J141" s="550">
        <f t="shared" si="7"/>
        <v>0</v>
      </c>
      <c r="K141" s="550"/>
      <c r="L141" s="570"/>
      <c r="M141" s="550">
        <f t="shared" si="1"/>
        <v>0</v>
      </c>
      <c r="N141" s="570"/>
      <c r="O141" s="550">
        <f t="shared" si="2"/>
        <v>0</v>
      </c>
      <c r="P141" s="550">
        <f t="shared" si="3"/>
        <v>0</v>
      </c>
    </row>
    <row r="142" spans="3:16">
      <c r="C142" s="546" t="str">
        <f>IF(D94="","-",+C141+1)</f>
        <v>-</v>
      </c>
      <c r="D142" s="504">
        <f t="shared" si="4"/>
        <v>0</v>
      </c>
      <c r="E142" s="547">
        <f t="shared" si="6"/>
        <v>0</v>
      </c>
      <c r="F142" s="547">
        <f t="shared" si="0"/>
        <v>0</v>
      </c>
      <c r="G142" s="504">
        <f t="shared" si="5"/>
        <v>0</v>
      </c>
      <c r="H142" s="552">
        <f>+J95*G142+E142</f>
        <v>0</v>
      </c>
      <c r="I142" s="553">
        <f>+J96*G142+E142</f>
        <v>0</v>
      </c>
      <c r="J142" s="550">
        <f t="shared" si="7"/>
        <v>0</v>
      </c>
      <c r="K142" s="550"/>
      <c r="L142" s="570"/>
      <c r="M142" s="550">
        <f t="shared" si="1"/>
        <v>0</v>
      </c>
      <c r="N142" s="570"/>
      <c r="O142" s="550">
        <f t="shared" si="2"/>
        <v>0</v>
      </c>
      <c r="P142" s="550">
        <f t="shared" si="3"/>
        <v>0</v>
      </c>
    </row>
    <row r="143" spans="3:16">
      <c r="C143" s="546" t="str">
        <f>IF(D94="","-",+C142+1)</f>
        <v>-</v>
      </c>
      <c r="D143" s="504">
        <f t="shared" si="4"/>
        <v>0</v>
      </c>
      <c r="E143" s="547">
        <f t="shared" si="6"/>
        <v>0</v>
      </c>
      <c r="F143" s="547">
        <f t="shared" si="0"/>
        <v>0</v>
      </c>
      <c r="G143" s="504">
        <f t="shared" si="5"/>
        <v>0</v>
      </c>
      <c r="H143" s="552">
        <f>+J95*G143+E143</f>
        <v>0</v>
      </c>
      <c r="I143" s="553">
        <f>+J96*G143+E143</f>
        <v>0</v>
      </c>
      <c r="J143" s="550">
        <f t="shared" si="7"/>
        <v>0</v>
      </c>
      <c r="K143" s="550"/>
      <c r="L143" s="570"/>
      <c r="M143" s="550">
        <f t="shared" si="1"/>
        <v>0</v>
      </c>
      <c r="N143" s="570"/>
      <c r="O143" s="550">
        <f t="shared" si="2"/>
        <v>0</v>
      </c>
      <c r="P143" s="550">
        <f t="shared" si="3"/>
        <v>0</v>
      </c>
    </row>
    <row r="144" spans="3:16">
      <c r="C144" s="546" t="str">
        <f>IF(D94="","-",+C143+1)</f>
        <v>-</v>
      </c>
      <c r="D144" s="504">
        <f t="shared" si="4"/>
        <v>0</v>
      </c>
      <c r="E144" s="547">
        <f t="shared" si="6"/>
        <v>0</v>
      </c>
      <c r="F144" s="547">
        <f t="shared" si="0"/>
        <v>0</v>
      </c>
      <c r="G144" s="504">
        <f t="shared" si="5"/>
        <v>0</v>
      </c>
      <c r="H144" s="552">
        <f>+J95*G144+E144</f>
        <v>0</v>
      </c>
      <c r="I144" s="553">
        <f>+J96*G144+E144</f>
        <v>0</v>
      </c>
      <c r="J144" s="550">
        <f t="shared" si="7"/>
        <v>0</v>
      </c>
      <c r="K144" s="550"/>
      <c r="L144" s="570"/>
      <c r="M144" s="550">
        <f t="shared" si="1"/>
        <v>0</v>
      </c>
      <c r="N144" s="570"/>
      <c r="O144" s="550">
        <f t="shared" si="2"/>
        <v>0</v>
      </c>
      <c r="P144" s="550">
        <f t="shared" si="3"/>
        <v>0</v>
      </c>
    </row>
    <row r="145" spans="3:16">
      <c r="C145" s="546" t="str">
        <f>IF(D94="","-",+C144+1)</f>
        <v>-</v>
      </c>
      <c r="D145" s="504">
        <f t="shared" si="4"/>
        <v>0</v>
      </c>
      <c r="E145" s="547">
        <f t="shared" si="6"/>
        <v>0</v>
      </c>
      <c r="F145" s="547">
        <f t="shared" si="0"/>
        <v>0</v>
      </c>
      <c r="G145" s="504">
        <f t="shared" si="5"/>
        <v>0</v>
      </c>
      <c r="H145" s="552">
        <f>+J95*G145+E145</f>
        <v>0</v>
      </c>
      <c r="I145" s="553">
        <f>+J96*G145+E145</f>
        <v>0</v>
      </c>
      <c r="J145" s="550">
        <f t="shared" si="7"/>
        <v>0</v>
      </c>
      <c r="K145" s="550"/>
      <c r="L145" s="570"/>
      <c r="M145" s="550">
        <f t="shared" si="1"/>
        <v>0</v>
      </c>
      <c r="N145" s="570"/>
      <c r="O145" s="550">
        <f t="shared" si="2"/>
        <v>0</v>
      </c>
      <c r="P145" s="550">
        <f t="shared" si="3"/>
        <v>0</v>
      </c>
    </row>
    <row r="146" spans="3:16">
      <c r="C146" s="546" t="str">
        <f>IF(D94="","-",+C145+1)</f>
        <v>-</v>
      </c>
      <c r="D146" s="504">
        <f t="shared" si="4"/>
        <v>0</v>
      </c>
      <c r="E146" s="547">
        <f t="shared" si="6"/>
        <v>0</v>
      </c>
      <c r="F146" s="547">
        <f t="shared" si="0"/>
        <v>0</v>
      </c>
      <c r="G146" s="504">
        <f t="shared" si="5"/>
        <v>0</v>
      </c>
      <c r="H146" s="552">
        <f>+J95*G146+E146</f>
        <v>0</v>
      </c>
      <c r="I146" s="553">
        <f>+J96*G146+E146</f>
        <v>0</v>
      </c>
      <c r="J146" s="550">
        <f t="shared" si="7"/>
        <v>0</v>
      </c>
      <c r="K146" s="550"/>
      <c r="L146" s="570"/>
      <c r="M146" s="550">
        <f t="shared" si="1"/>
        <v>0</v>
      </c>
      <c r="N146" s="570"/>
      <c r="O146" s="550">
        <f t="shared" si="2"/>
        <v>0</v>
      </c>
      <c r="P146" s="550">
        <f t="shared" si="3"/>
        <v>0</v>
      </c>
    </row>
    <row r="147" spans="3:16">
      <c r="C147" s="546" t="str">
        <f>IF(D94="","-",+C146+1)</f>
        <v>-</v>
      </c>
      <c r="D147" s="504">
        <f t="shared" si="4"/>
        <v>0</v>
      </c>
      <c r="E147" s="547">
        <f t="shared" si="6"/>
        <v>0</v>
      </c>
      <c r="F147" s="547">
        <f t="shared" si="0"/>
        <v>0</v>
      </c>
      <c r="G147" s="504">
        <f t="shared" si="5"/>
        <v>0</v>
      </c>
      <c r="H147" s="552">
        <f>+J95*G147+E147</f>
        <v>0</v>
      </c>
      <c r="I147" s="553">
        <f>+J96*G147+E147</f>
        <v>0</v>
      </c>
      <c r="J147" s="550">
        <f t="shared" si="7"/>
        <v>0</v>
      </c>
      <c r="K147" s="550"/>
      <c r="L147" s="570"/>
      <c r="M147" s="550">
        <f t="shared" si="1"/>
        <v>0</v>
      </c>
      <c r="N147" s="570"/>
      <c r="O147" s="550">
        <f t="shared" si="2"/>
        <v>0</v>
      </c>
      <c r="P147" s="550">
        <f t="shared" si="3"/>
        <v>0</v>
      </c>
    </row>
    <row r="148" spans="3:16">
      <c r="C148" s="546" t="str">
        <f>IF(D94="","-",+C147+1)</f>
        <v>-</v>
      </c>
      <c r="D148" s="504">
        <f t="shared" si="4"/>
        <v>0</v>
      </c>
      <c r="E148" s="547">
        <f t="shared" si="6"/>
        <v>0</v>
      </c>
      <c r="F148" s="547">
        <f t="shared" si="0"/>
        <v>0</v>
      </c>
      <c r="G148" s="504">
        <f t="shared" si="5"/>
        <v>0</v>
      </c>
      <c r="H148" s="552">
        <f>+J95*G148+E148</f>
        <v>0</v>
      </c>
      <c r="I148" s="553">
        <f>+J96*G148+E148</f>
        <v>0</v>
      </c>
      <c r="J148" s="550">
        <f t="shared" si="7"/>
        <v>0</v>
      </c>
      <c r="K148" s="550"/>
      <c r="L148" s="570"/>
      <c r="M148" s="550">
        <f t="shared" si="1"/>
        <v>0</v>
      </c>
      <c r="N148" s="570"/>
      <c r="O148" s="550">
        <f t="shared" si="2"/>
        <v>0</v>
      </c>
      <c r="P148" s="550">
        <f t="shared" si="3"/>
        <v>0</v>
      </c>
    </row>
    <row r="149" spans="3:16">
      <c r="C149" s="546" t="str">
        <f>IF(D94="","-",+C148+1)</f>
        <v>-</v>
      </c>
      <c r="D149" s="504">
        <f t="shared" si="4"/>
        <v>0</v>
      </c>
      <c r="E149" s="547">
        <f t="shared" si="6"/>
        <v>0</v>
      </c>
      <c r="F149" s="547">
        <f t="shared" si="0"/>
        <v>0</v>
      </c>
      <c r="G149" s="504">
        <f t="shared" si="5"/>
        <v>0</v>
      </c>
      <c r="H149" s="552">
        <f>+J95*G149+E149</f>
        <v>0</v>
      </c>
      <c r="I149" s="553">
        <f>+J96*G149+E149</f>
        <v>0</v>
      </c>
      <c r="J149" s="550">
        <f t="shared" si="7"/>
        <v>0</v>
      </c>
      <c r="K149" s="550"/>
      <c r="L149" s="570"/>
      <c r="M149" s="550">
        <f t="shared" si="1"/>
        <v>0</v>
      </c>
      <c r="N149" s="570"/>
      <c r="O149" s="550">
        <f t="shared" si="2"/>
        <v>0</v>
      </c>
      <c r="P149" s="550">
        <f t="shared" si="3"/>
        <v>0</v>
      </c>
    </row>
    <row r="150" spans="3:16">
      <c r="C150" s="546" t="str">
        <f>IF(D94="","-",+C149+1)</f>
        <v>-</v>
      </c>
      <c r="D150" s="504">
        <f t="shared" si="4"/>
        <v>0</v>
      </c>
      <c r="E150" s="547">
        <f t="shared" si="6"/>
        <v>0</v>
      </c>
      <c r="F150" s="547">
        <f t="shared" si="0"/>
        <v>0</v>
      </c>
      <c r="G150" s="504">
        <f t="shared" si="5"/>
        <v>0</v>
      </c>
      <c r="H150" s="552">
        <f>+J95*G150+E150</f>
        <v>0</v>
      </c>
      <c r="I150" s="553">
        <f>+J96*G150+E150</f>
        <v>0</v>
      </c>
      <c r="J150" s="550">
        <f t="shared" si="7"/>
        <v>0</v>
      </c>
      <c r="K150" s="550"/>
      <c r="L150" s="570"/>
      <c r="M150" s="550">
        <f t="shared" si="1"/>
        <v>0</v>
      </c>
      <c r="N150" s="570"/>
      <c r="O150" s="550">
        <f t="shared" si="2"/>
        <v>0</v>
      </c>
      <c r="P150" s="550">
        <f t="shared" si="3"/>
        <v>0</v>
      </c>
    </row>
    <row r="151" spans="3:16">
      <c r="C151" s="546" t="str">
        <f>IF(D94="","-",+C150+1)</f>
        <v>-</v>
      </c>
      <c r="D151" s="504">
        <f t="shared" si="4"/>
        <v>0</v>
      </c>
      <c r="E151" s="547">
        <f t="shared" si="6"/>
        <v>0</v>
      </c>
      <c r="F151" s="547">
        <f t="shared" si="0"/>
        <v>0</v>
      </c>
      <c r="G151" s="504">
        <f t="shared" si="5"/>
        <v>0</v>
      </c>
      <c r="H151" s="552">
        <f>+J95*G151+E151</f>
        <v>0</v>
      </c>
      <c r="I151" s="553">
        <f>+J96*G151+E151</f>
        <v>0</v>
      </c>
      <c r="J151" s="550">
        <f t="shared" si="7"/>
        <v>0</v>
      </c>
      <c r="K151" s="550"/>
      <c r="L151" s="570"/>
      <c r="M151" s="550">
        <f t="shared" si="1"/>
        <v>0</v>
      </c>
      <c r="N151" s="570"/>
      <c r="O151" s="550">
        <f t="shared" si="2"/>
        <v>0</v>
      </c>
      <c r="P151" s="550">
        <f t="shared" si="3"/>
        <v>0</v>
      </c>
    </row>
    <row r="152" spans="3:16">
      <c r="C152" s="546" t="str">
        <f>IF(D94="","-",+C151+1)</f>
        <v>-</v>
      </c>
      <c r="D152" s="504">
        <f t="shared" si="4"/>
        <v>0</v>
      </c>
      <c r="E152" s="547">
        <f t="shared" si="6"/>
        <v>0</v>
      </c>
      <c r="F152" s="547">
        <f t="shared" si="0"/>
        <v>0</v>
      </c>
      <c r="G152" s="504">
        <f t="shared" si="5"/>
        <v>0</v>
      </c>
      <c r="H152" s="552">
        <f>+J95*G152+E152</f>
        <v>0</v>
      </c>
      <c r="I152" s="553">
        <f>+J96*G152+E152</f>
        <v>0</v>
      </c>
      <c r="J152" s="550">
        <f t="shared" si="7"/>
        <v>0</v>
      </c>
      <c r="K152" s="550"/>
      <c r="L152" s="570"/>
      <c r="M152" s="550">
        <f t="shared" si="1"/>
        <v>0</v>
      </c>
      <c r="N152" s="570"/>
      <c r="O152" s="550">
        <f t="shared" si="2"/>
        <v>0</v>
      </c>
      <c r="P152" s="550">
        <f t="shared" si="3"/>
        <v>0</v>
      </c>
    </row>
    <row r="153" spans="3:16">
      <c r="C153" s="546" t="str">
        <f>IF(D94="","-",+C152+1)</f>
        <v>-</v>
      </c>
      <c r="D153" s="504">
        <f t="shared" si="4"/>
        <v>0</v>
      </c>
      <c r="E153" s="547">
        <f t="shared" si="6"/>
        <v>0</v>
      </c>
      <c r="F153" s="547">
        <f t="shared" si="0"/>
        <v>0</v>
      </c>
      <c r="G153" s="504">
        <f t="shared" si="5"/>
        <v>0</v>
      </c>
      <c r="H153" s="552">
        <f>+J95*G153+E153</f>
        <v>0</v>
      </c>
      <c r="I153" s="553">
        <f>+J96*G153+E153</f>
        <v>0</v>
      </c>
      <c r="J153" s="550">
        <f t="shared" si="7"/>
        <v>0</v>
      </c>
      <c r="K153" s="550"/>
      <c r="L153" s="570"/>
      <c r="M153" s="550">
        <f t="shared" si="1"/>
        <v>0</v>
      </c>
      <c r="N153" s="570"/>
      <c r="O153" s="550">
        <f t="shared" si="2"/>
        <v>0</v>
      </c>
      <c r="P153" s="550">
        <f t="shared" si="3"/>
        <v>0</v>
      </c>
    </row>
    <row r="154" spans="3:16">
      <c r="C154" s="546" t="str">
        <f>IF(D94="","-",+C153+1)</f>
        <v>-</v>
      </c>
      <c r="D154" s="504">
        <f>F153</f>
        <v>0</v>
      </c>
      <c r="E154" s="547">
        <f t="shared" si="6"/>
        <v>0</v>
      </c>
      <c r="F154" s="547">
        <f t="shared" si="0"/>
        <v>0</v>
      </c>
      <c r="G154" s="504">
        <f t="shared" si="5"/>
        <v>0</v>
      </c>
      <c r="H154" s="552">
        <f>+J95*G154+E154</f>
        <v>0</v>
      </c>
      <c r="I154" s="553">
        <f>+J96*G154+E154</f>
        <v>0</v>
      </c>
      <c r="J154" s="550">
        <f t="shared" si="7"/>
        <v>0</v>
      </c>
      <c r="K154" s="550"/>
      <c r="L154" s="570"/>
      <c r="M154" s="550">
        <f t="shared" si="1"/>
        <v>0</v>
      </c>
      <c r="N154" s="570"/>
      <c r="O154" s="550">
        <f t="shared" si="2"/>
        <v>0</v>
      </c>
      <c r="P154" s="550">
        <f t="shared" si="3"/>
        <v>0</v>
      </c>
    </row>
    <row r="155" spans="3:16">
      <c r="C155" s="546" t="str">
        <f>IF(D94="","-",+C154+1)</f>
        <v>-</v>
      </c>
      <c r="D155" s="504">
        <f t="shared" si="4"/>
        <v>0</v>
      </c>
      <c r="E155" s="547">
        <f t="shared" si="6"/>
        <v>0</v>
      </c>
      <c r="F155" s="547">
        <f t="shared" si="0"/>
        <v>0</v>
      </c>
      <c r="G155" s="504">
        <f t="shared" si="5"/>
        <v>0</v>
      </c>
      <c r="H155" s="552">
        <f>+J95*G155+E155</f>
        <v>0</v>
      </c>
      <c r="I155" s="553">
        <f>+J96*G155+E155</f>
        <v>0</v>
      </c>
      <c r="J155" s="550">
        <f t="shared" si="7"/>
        <v>0</v>
      </c>
      <c r="K155" s="550"/>
      <c r="L155" s="570"/>
      <c r="M155" s="550">
        <f t="shared" si="1"/>
        <v>0</v>
      </c>
      <c r="N155" s="570"/>
      <c r="O155" s="550">
        <f t="shared" si="2"/>
        <v>0</v>
      </c>
      <c r="P155" s="550">
        <f t="shared" si="3"/>
        <v>0</v>
      </c>
    </row>
    <row r="156" spans="3:16">
      <c r="C156" s="546" t="str">
        <f>IF(D94="","-",+C155+1)</f>
        <v>-</v>
      </c>
      <c r="D156" s="504">
        <f t="shared" si="4"/>
        <v>0</v>
      </c>
      <c r="E156" s="547">
        <f t="shared" si="6"/>
        <v>0</v>
      </c>
      <c r="F156" s="547">
        <f t="shared" si="0"/>
        <v>0</v>
      </c>
      <c r="G156" s="504">
        <f t="shared" si="5"/>
        <v>0</v>
      </c>
      <c r="H156" s="552">
        <f>+J95*G156+E156</f>
        <v>0</v>
      </c>
      <c r="I156" s="553">
        <f>+J96*G156+E156</f>
        <v>0</v>
      </c>
      <c r="J156" s="550">
        <f t="shared" si="7"/>
        <v>0</v>
      </c>
      <c r="K156" s="550"/>
      <c r="L156" s="570"/>
      <c r="M156" s="550">
        <f t="shared" si="1"/>
        <v>0</v>
      </c>
      <c r="N156" s="570"/>
      <c r="O156" s="550">
        <f t="shared" si="2"/>
        <v>0</v>
      </c>
      <c r="P156" s="550">
        <f t="shared" si="3"/>
        <v>0</v>
      </c>
    </row>
    <row r="157" spans="3:16">
      <c r="C157" s="546" t="str">
        <f>IF(D94="","-",+C156+1)</f>
        <v>-</v>
      </c>
      <c r="D157" s="504">
        <f t="shared" si="4"/>
        <v>0</v>
      </c>
      <c r="E157" s="547">
        <f t="shared" si="6"/>
        <v>0</v>
      </c>
      <c r="F157" s="547">
        <f t="shared" si="0"/>
        <v>0</v>
      </c>
      <c r="G157" s="504">
        <f t="shared" si="5"/>
        <v>0</v>
      </c>
      <c r="H157" s="552">
        <f>+J95*G157+E157</f>
        <v>0</v>
      </c>
      <c r="I157" s="553">
        <f>+J96*G157+E157</f>
        <v>0</v>
      </c>
      <c r="J157" s="550">
        <f t="shared" si="7"/>
        <v>0</v>
      </c>
      <c r="K157" s="550"/>
      <c r="L157" s="570"/>
      <c r="M157" s="550">
        <f t="shared" si="1"/>
        <v>0</v>
      </c>
      <c r="N157" s="570"/>
      <c r="O157" s="550">
        <f t="shared" si="2"/>
        <v>0</v>
      </c>
      <c r="P157" s="550">
        <f t="shared" si="3"/>
        <v>0</v>
      </c>
    </row>
    <row r="158" spans="3:16">
      <c r="C158" s="546" t="str">
        <f>IF(D94="","-",+C157+1)</f>
        <v>-</v>
      </c>
      <c r="D158" s="504">
        <f t="shared" si="4"/>
        <v>0</v>
      </c>
      <c r="E158" s="547">
        <f t="shared" si="6"/>
        <v>0</v>
      </c>
      <c r="F158" s="547">
        <f t="shared" si="0"/>
        <v>0</v>
      </c>
      <c r="G158" s="504">
        <f t="shared" si="5"/>
        <v>0</v>
      </c>
      <c r="H158" s="552">
        <f>+J95*G158+E158</f>
        <v>0</v>
      </c>
      <c r="I158" s="553">
        <f>+J96*G158+E158</f>
        <v>0</v>
      </c>
      <c r="J158" s="550">
        <f t="shared" si="7"/>
        <v>0</v>
      </c>
      <c r="K158" s="550"/>
      <c r="L158" s="570"/>
      <c r="M158" s="550">
        <f t="shared" si="1"/>
        <v>0</v>
      </c>
      <c r="N158" s="570"/>
      <c r="O158" s="550">
        <f t="shared" si="2"/>
        <v>0</v>
      </c>
      <c r="P158" s="550">
        <f t="shared" si="3"/>
        <v>0</v>
      </c>
    </row>
    <row r="159" spans="3:16" ht="13.5" thickBot="1">
      <c r="C159" s="556" t="str">
        <f>IF(D94="","-",+C158+1)</f>
        <v>-</v>
      </c>
      <c r="D159" s="557">
        <f t="shared" si="4"/>
        <v>0</v>
      </c>
      <c r="E159" s="558">
        <f t="shared" si="6"/>
        <v>0</v>
      </c>
      <c r="F159" s="558">
        <f t="shared" si="0"/>
        <v>0</v>
      </c>
      <c r="G159" s="557">
        <f t="shared" si="5"/>
        <v>0</v>
      </c>
      <c r="H159" s="559">
        <f>+J95*G159+E159</f>
        <v>0</v>
      </c>
      <c r="I159" s="559">
        <f>+J96*G159+E159</f>
        <v>0</v>
      </c>
      <c r="J159" s="560">
        <f t="shared" si="7"/>
        <v>0</v>
      </c>
      <c r="K159" s="550"/>
      <c r="L159" s="571"/>
      <c r="M159" s="560">
        <f t="shared" si="1"/>
        <v>0</v>
      </c>
      <c r="N159" s="571"/>
      <c r="O159" s="560">
        <f t="shared" si="2"/>
        <v>0</v>
      </c>
      <c r="P159" s="560">
        <f t="shared" si="3"/>
        <v>0</v>
      </c>
    </row>
    <row r="160" spans="3:16">
      <c r="C160" s="504" t="s">
        <v>91</v>
      </c>
      <c r="D160" s="501"/>
      <c r="E160" s="501">
        <f>SUM(E100:E159)</f>
        <v>0</v>
      </c>
      <c r="F160" s="501"/>
      <c r="G160" s="501"/>
      <c r="H160" s="501">
        <f>SUM(H100:H159)</f>
        <v>0</v>
      </c>
      <c r="I160" s="501">
        <f>SUM(I100:I159)</f>
        <v>0</v>
      </c>
      <c r="J160" s="501">
        <f>SUM(J100:J159)</f>
        <v>0</v>
      </c>
      <c r="K160" s="501"/>
      <c r="L160" s="501"/>
      <c r="M160" s="501"/>
      <c r="N160" s="501"/>
      <c r="O160" s="501"/>
    </row>
    <row r="161" spans="3:15">
      <c r="D161" s="47"/>
      <c r="E161" s="3"/>
      <c r="F161" s="3"/>
      <c r="G161" s="3"/>
      <c r="H161" s="3"/>
      <c r="I161" s="488"/>
      <c r="J161" s="488"/>
      <c r="K161" s="501"/>
      <c r="L161" s="488"/>
      <c r="M161" s="488"/>
      <c r="N161" s="488"/>
      <c r="O161" s="488"/>
    </row>
    <row r="162" spans="3:15">
      <c r="C162" s="3" t="s">
        <v>13</v>
      </c>
      <c r="D162" s="47"/>
      <c r="E162" s="3"/>
      <c r="F162" s="3"/>
      <c r="G162" s="3"/>
      <c r="H162" s="3"/>
      <c r="I162" s="488"/>
      <c r="J162" s="488"/>
      <c r="K162" s="501"/>
      <c r="L162" s="488"/>
      <c r="M162" s="488"/>
      <c r="N162" s="488"/>
      <c r="O162" s="488"/>
    </row>
    <row r="163" spans="3:15">
      <c r="C163" s="3"/>
      <c r="D163" s="47"/>
      <c r="E163" s="3"/>
      <c r="F163" s="3"/>
      <c r="G163" s="3"/>
      <c r="H163" s="3"/>
      <c r="I163" s="488"/>
      <c r="J163" s="488"/>
      <c r="K163" s="501"/>
      <c r="L163" s="488"/>
      <c r="M163" s="488"/>
      <c r="N163" s="488"/>
      <c r="O163" s="488"/>
    </row>
    <row r="164" spans="3:15">
      <c r="C164" s="516" t="s">
        <v>14</v>
      </c>
      <c r="D164" s="504"/>
      <c r="E164" s="504"/>
      <c r="F164" s="504"/>
      <c r="G164" s="504"/>
      <c r="H164" s="501"/>
      <c r="I164" s="501"/>
      <c r="J164" s="562"/>
      <c r="K164" s="562"/>
      <c r="L164" s="562"/>
      <c r="M164" s="562"/>
      <c r="N164" s="562"/>
      <c r="O164" s="562"/>
    </row>
    <row r="165" spans="3:15">
      <c r="C165" s="505" t="s">
        <v>271</v>
      </c>
      <c r="D165" s="504"/>
      <c r="E165" s="504"/>
      <c r="F165" s="504"/>
      <c r="G165" s="504"/>
      <c r="H165" s="501"/>
      <c r="I165" s="501"/>
      <c r="J165" s="562"/>
      <c r="K165" s="562"/>
      <c r="L165" s="562"/>
      <c r="M165" s="562"/>
      <c r="N165" s="562"/>
      <c r="O165" s="562"/>
    </row>
    <row r="166" spans="3:15">
      <c r="C166" s="505" t="s">
        <v>92</v>
      </c>
      <c r="D166" s="504"/>
      <c r="E166" s="504"/>
      <c r="F166" s="504"/>
      <c r="G166" s="504"/>
      <c r="H166" s="501"/>
      <c r="I166" s="501"/>
      <c r="J166" s="562"/>
      <c r="K166" s="562"/>
      <c r="L166" s="562"/>
      <c r="M166" s="562"/>
      <c r="N166" s="562"/>
      <c r="O166" s="562"/>
    </row>
  </sheetData>
  <mergeCells count="11">
    <mergeCell ref="L93:O93"/>
    <mergeCell ref="D89:I89"/>
    <mergeCell ref="C51:D52"/>
    <mergeCell ref="C60:D61"/>
    <mergeCell ref="C71:D72"/>
    <mergeCell ref="J77:P80"/>
    <mergeCell ref="A3:P3"/>
    <mergeCell ref="C11:I12"/>
    <mergeCell ref="A4:P4"/>
    <mergeCell ref="A5:P5"/>
    <mergeCell ref="A6:P6"/>
  </mergeCells>
  <phoneticPr fontId="0" type="noConversion"/>
  <conditionalFormatting sqref="C100:C159">
    <cfRule type="cellIs" dxfId="4" priority="11" stopIfTrue="1" operator="equal">
      <formula>$J$92</formula>
    </cfRule>
  </conditionalFormatting>
  <pageMargins left="0.26" right="1.28" top="0.72" bottom="0.72" header="0.75" footer="0.5"/>
  <pageSetup scale="41" fitToHeight="2" orientation="landscape" r:id="rId1"/>
  <headerFooter alignWithMargins="0">
    <oddHeader>&amp;R&amp;"Arial,Bold"Formula Rate 
&amp;A
Page &amp;P of &amp;N</oddHeader>
  </headerFooter>
  <rowBreaks count="1" manualBreakCount="1">
    <brk id="80" max="1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E10"/>
  <sheetViews>
    <sheetView view="pageBreakPreview" zoomScale="60" zoomScaleNormal="100" workbookViewId="0">
      <selection activeCell="G129" sqref="G129"/>
    </sheetView>
  </sheetViews>
  <sheetFormatPr defaultRowHeight="12.75"/>
  <cols>
    <col min="1" max="1" width="9.140625" style="7"/>
    <col min="2" max="2" width="40.140625" style="8" customWidth="1"/>
    <col min="3" max="3" width="31.5703125" style="5" customWidth="1"/>
    <col min="4" max="4" width="14.85546875" style="5" customWidth="1"/>
    <col min="5" max="5" width="18" style="5" customWidth="1"/>
    <col min="6" max="16384" width="9.140625" style="5"/>
  </cols>
  <sheetData>
    <row r="1" spans="1:5" ht="15.75">
      <c r="A1" s="696" t="s">
        <v>414</v>
      </c>
    </row>
    <row r="2" spans="1:5" ht="15.75">
      <c r="A2" s="696" t="s">
        <v>414</v>
      </c>
    </row>
    <row r="3" spans="1:5" ht="15">
      <c r="B3" s="1141" t="str">
        <f>TCOS!$F$5</f>
        <v>AEPTCo subsidiaries in PJM</v>
      </c>
      <c r="C3" s="1141" t="str">
        <f>TCOS!$F$5</f>
        <v>AEPTCo subsidiaries in PJM</v>
      </c>
      <c r="D3" s="1141" t="str">
        <f>TCOS!$F$5</f>
        <v>AEPTCo subsidiaries in PJM</v>
      </c>
      <c r="E3" s="1141" t="str">
        <f>TCOS!$F$5</f>
        <v>AEPTCo subsidiaries in PJM</v>
      </c>
    </row>
    <row r="4" spans="1:5" ht="15">
      <c r="B4" s="1142" t="str">
        <f>"Cost of Service Formula Rate Using Actual/Projected FF1 Balances"</f>
        <v>Cost of Service Formula Rate Using Actual/Projected FF1 Balances</v>
      </c>
      <c r="C4" s="1142"/>
      <c r="D4" s="1142"/>
      <c r="E4" s="1142"/>
    </row>
    <row r="5" spans="1:5" ht="15">
      <c r="B5" s="1141" t="s">
        <v>597</v>
      </c>
      <c r="C5" s="1141"/>
      <c r="D5" s="1141"/>
      <c r="E5" s="1141"/>
    </row>
    <row r="6" spans="1:5" ht="15">
      <c r="B6" s="1152" t="str">
        <f>+TCOS!F9</f>
        <v>AEP Kentucky Transmission Company</v>
      </c>
      <c r="C6" s="1141"/>
      <c r="D6" s="1141"/>
      <c r="E6" s="1141"/>
    </row>
    <row r="8" spans="1:5" ht="18.75" customHeight="1">
      <c r="B8" s="6" t="s">
        <v>414</v>
      </c>
      <c r="C8" s="63"/>
      <c r="D8" s="76"/>
    </row>
    <row r="9" spans="1:5">
      <c r="B9" s="75"/>
      <c r="C9" s="63"/>
      <c r="D9" s="76"/>
    </row>
    <row r="10" spans="1:5">
      <c r="B10" s="8" t="s">
        <v>561</v>
      </c>
    </row>
  </sheetData>
  <mergeCells count="4">
    <mergeCell ref="B6:E6"/>
    <mergeCell ref="B3:E3"/>
    <mergeCell ref="B4:E4"/>
    <mergeCell ref="B5:E5"/>
  </mergeCells>
  <phoneticPr fontId="0" type="noConversion"/>
  <pageMargins left="0.61" right="1" top="1.22" bottom="1" header="0.87" footer="0.5"/>
  <pageSetup scale="73" orientation="portrait" r:id="rId1"/>
  <headerFooter alignWithMargins="0">
    <oddHeader>&amp;R&amp;"Arial,Bold"Formula Rate 
&amp;A
Page &amp;P of &amp;N</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L76"/>
  <sheetViews>
    <sheetView view="pageBreakPreview" topLeftCell="A19" zoomScale="70" zoomScaleNormal="90" zoomScaleSheetLayoutView="70" workbookViewId="0">
      <selection activeCell="E50" sqref="E50"/>
    </sheetView>
  </sheetViews>
  <sheetFormatPr defaultColWidth="11.42578125" defaultRowHeight="12.75"/>
  <cols>
    <col min="1" max="1" width="10.28515625" style="825" customWidth="1"/>
    <col min="2" max="2" width="52.28515625" style="800" customWidth="1"/>
    <col min="3" max="7" width="20.28515625" style="800" customWidth="1"/>
    <col min="8" max="8" width="23" style="800" customWidth="1"/>
    <col min="9" max="11" width="20.28515625" style="800" customWidth="1"/>
    <col min="12" max="12" width="20" style="800" customWidth="1"/>
    <col min="13" max="14" width="15.140625" style="800" customWidth="1"/>
    <col min="15" max="16384" width="11.42578125" style="800"/>
  </cols>
  <sheetData>
    <row r="1" spans="1:12" ht="15">
      <c r="A1" s="1205" t="str">
        <f>TCOS!F5</f>
        <v>AEPTCo subsidiaries in PJM</v>
      </c>
      <c r="B1" s="1205" t="s">
        <v>329</v>
      </c>
      <c r="C1" s="1205" t="s">
        <v>329</v>
      </c>
      <c r="D1" s="1205" t="s">
        <v>329</v>
      </c>
      <c r="E1" s="1205" t="s">
        <v>329</v>
      </c>
      <c r="F1" s="1205" t="s">
        <v>329</v>
      </c>
      <c r="G1" s="1205" t="s">
        <v>329</v>
      </c>
      <c r="H1" s="708"/>
    </row>
    <row r="2" spans="1:12" ht="15">
      <c r="A2" s="1142" t="str">
        <f>"Cost of Service Formula Rate Using Actual/Projected FF1 Balances"</f>
        <v>Cost of Service Formula Rate Using Actual/Projected FF1 Balances</v>
      </c>
      <c r="B2" s="1142"/>
      <c r="C2" s="1142"/>
      <c r="D2" s="1142"/>
      <c r="E2" s="1142"/>
      <c r="F2" s="1142"/>
      <c r="G2" s="1142"/>
      <c r="H2" s="801"/>
      <c r="I2" s="801"/>
      <c r="J2" s="801"/>
      <c r="L2" s="802"/>
    </row>
    <row r="3" spans="1:12" ht="15">
      <c r="A3" s="1142" t="s">
        <v>733</v>
      </c>
      <c r="B3" s="1142"/>
      <c r="C3" s="1142"/>
      <c r="D3" s="1142"/>
      <c r="E3" s="1142"/>
      <c r="F3" s="1142"/>
      <c r="G3" s="1142"/>
      <c r="H3" s="801"/>
      <c r="I3" s="801"/>
      <c r="J3" s="801"/>
    </row>
    <row r="4" spans="1:12" ht="15">
      <c r="A4" s="1143" t="str">
        <f>TCOS!F9</f>
        <v>AEP Kentucky Transmission Company</v>
      </c>
      <c r="B4" s="1143"/>
      <c r="C4" s="1143"/>
      <c r="D4" s="1143"/>
      <c r="E4" s="1143"/>
      <c r="F4" s="1143"/>
      <c r="G4" s="1143"/>
      <c r="H4" s="801"/>
      <c r="I4" s="801"/>
      <c r="J4" s="801"/>
    </row>
    <row r="5" spans="1:12">
      <c r="A5" s="801"/>
      <c r="B5" s="803"/>
      <c r="C5" s="803"/>
      <c r="D5" s="803"/>
      <c r="E5" s="804"/>
      <c r="F5" s="805"/>
      <c r="H5" s="707"/>
      <c r="I5" s="707"/>
      <c r="J5" s="707"/>
      <c r="K5" s="707"/>
      <c r="L5" s="707"/>
    </row>
    <row r="6" spans="1:12" ht="12.75" customHeight="1">
      <c r="A6" s="708"/>
      <c r="B6" s="744"/>
      <c r="C6" s="1144" t="s">
        <v>339</v>
      </c>
      <c r="D6" s="1145"/>
      <c r="E6" s="1145"/>
      <c r="F6" s="1145"/>
      <c r="G6" s="1146"/>
      <c r="H6" s="707"/>
      <c r="I6" s="707"/>
      <c r="J6" s="707"/>
      <c r="K6" s="707"/>
      <c r="L6" s="707"/>
    </row>
    <row r="7" spans="1:12" s="808" customFormat="1" ht="38.25">
      <c r="A7" s="806" t="s">
        <v>705</v>
      </c>
      <c r="B7" s="749" t="s">
        <v>706</v>
      </c>
      <c r="C7" s="773" t="s">
        <v>734</v>
      </c>
      <c r="D7" s="750" t="s">
        <v>171</v>
      </c>
      <c r="E7" s="750" t="s">
        <v>735</v>
      </c>
      <c r="F7" s="750" t="s">
        <v>736</v>
      </c>
      <c r="G7" s="807" t="s">
        <v>339</v>
      </c>
      <c r="H7" s="707"/>
      <c r="I7" s="707"/>
      <c r="J7" s="707"/>
      <c r="K7" s="707"/>
      <c r="L7" s="707"/>
    </row>
    <row r="8" spans="1:12" s="811" customFormat="1">
      <c r="A8" s="809"/>
      <c r="B8" s="752" t="s">
        <v>710</v>
      </c>
      <c r="C8" s="774" t="s">
        <v>725</v>
      </c>
      <c r="D8" s="746" t="s">
        <v>726</v>
      </c>
      <c r="E8" s="746" t="s">
        <v>711</v>
      </c>
      <c r="F8" s="746" t="s">
        <v>712</v>
      </c>
      <c r="G8" s="810" t="s">
        <v>737</v>
      </c>
      <c r="H8" s="707"/>
      <c r="I8" s="707"/>
      <c r="J8" s="707"/>
      <c r="K8" s="707"/>
      <c r="L8" s="707"/>
    </row>
    <row r="9" spans="1:12" s="811" customFormat="1" ht="44.25" customHeight="1">
      <c r="A9" s="809"/>
      <c r="B9" s="752" t="s">
        <v>713</v>
      </c>
      <c r="C9" s="812" t="s">
        <v>738</v>
      </c>
      <c r="D9" s="754" t="s">
        <v>739</v>
      </c>
      <c r="E9" s="754" t="s">
        <v>740</v>
      </c>
      <c r="F9" s="754" t="s">
        <v>741</v>
      </c>
      <c r="G9" s="813"/>
      <c r="H9" s="707"/>
      <c r="I9" s="707"/>
      <c r="J9" s="707"/>
      <c r="K9" s="707"/>
      <c r="L9" s="707"/>
    </row>
    <row r="10" spans="1:12">
      <c r="A10" s="809">
        <v>1</v>
      </c>
      <c r="B10" s="755" t="s">
        <v>714</v>
      </c>
      <c r="C10" s="814">
        <v>58500139.26846768</v>
      </c>
      <c r="D10" s="814">
        <v>0</v>
      </c>
      <c r="E10" s="814">
        <v>0</v>
      </c>
      <c r="F10" s="814">
        <v>0</v>
      </c>
      <c r="G10" s="815">
        <f>+C10-D10-E10-F10</f>
        <v>58500139.26846768</v>
      </c>
      <c r="H10" s="707"/>
      <c r="I10" s="707"/>
      <c r="J10" s="707"/>
      <c r="K10" s="707"/>
      <c r="L10" s="707"/>
    </row>
    <row r="11" spans="1:12">
      <c r="A11" s="809">
        <f>+A10+1</f>
        <v>2</v>
      </c>
      <c r="B11" s="755" t="s">
        <v>574</v>
      </c>
      <c r="C11" s="814">
        <v>59087410.312944829</v>
      </c>
      <c r="D11" s="917">
        <v>0</v>
      </c>
      <c r="E11" s="917">
        <v>0</v>
      </c>
      <c r="F11" s="917">
        <v>0</v>
      </c>
      <c r="G11" s="815">
        <f t="shared" ref="G11:G22" si="0">+C11-D11-E11-F11</f>
        <v>59087410.312944829</v>
      </c>
      <c r="H11" s="707"/>
      <c r="I11" s="707"/>
      <c r="J11" s="707"/>
      <c r="K11" s="707"/>
      <c r="L11" s="707"/>
    </row>
    <row r="12" spans="1:12">
      <c r="A12" s="809">
        <f t="shared" ref="A12:A23" si="1">+A11+1</f>
        <v>3</v>
      </c>
      <c r="B12" s="757" t="s">
        <v>575</v>
      </c>
      <c r="C12" s="814">
        <v>72062708.450262785</v>
      </c>
      <c r="D12" s="917">
        <v>0</v>
      </c>
      <c r="E12" s="917">
        <v>0</v>
      </c>
      <c r="F12" s="917">
        <v>0</v>
      </c>
      <c r="G12" s="815">
        <f t="shared" si="0"/>
        <v>72062708.450262785</v>
      </c>
      <c r="H12" s="707"/>
      <c r="I12" s="707"/>
      <c r="J12" s="707"/>
      <c r="K12" s="707"/>
      <c r="L12" s="707"/>
    </row>
    <row r="13" spans="1:12">
      <c r="A13" s="809">
        <f t="shared" si="1"/>
        <v>4</v>
      </c>
      <c r="B13" s="757" t="s">
        <v>715</v>
      </c>
      <c r="C13" s="814">
        <v>72702321.577691004</v>
      </c>
      <c r="D13" s="917">
        <v>0</v>
      </c>
      <c r="E13" s="917">
        <v>0</v>
      </c>
      <c r="F13" s="917">
        <v>0</v>
      </c>
      <c r="G13" s="815">
        <f t="shared" si="0"/>
        <v>72702321.577691004</v>
      </c>
      <c r="H13" s="707"/>
      <c r="I13" s="707"/>
      <c r="J13" s="707"/>
      <c r="K13" s="707"/>
      <c r="L13" s="707"/>
    </row>
    <row r="14" spans="1:12">
      <c r="A14" s="809">
        <f t="shared" si="1"/>
        <v>5</v>
      </c>
      <c r="B14" s="757" t="s">
        <v>577</v>
      </c>
      <c r="C14" s="814">
        <v>73320880.328275234</v>
      </c>
      <c r="D14" s="917">
        <v>0</v>
      </c>
      <c r="E14" s="917">
        <v>0</v>
      </c>
      <c r="F14" s="917">
        <v>0</v>
      </c>
      <c r="G14" s="815">
        <f t="shared" si="0"/>
        <v>73320880.328275234</v>
      </c>
      <c r="H14" s="707"/>
      <c r="I14" s="707"/>
      <c r="J14" s="707"/>
      <c r="K14" s="707"/>
      <c r="L14" s="707"/>
    </row>
    <row r="15" spans="1:12">
      <c r="A15" s="809">
        <f t="shared" si="1"/>
        <v>6</v>
      </c>
      <c r="B15" s="757" t="s">
        <v>578</v>
      </c>
      <c r="C15" s="814">
        <v>73982586.241691425</v>
      </c>
      <c r="D15" s="917">
        <v>0</v>
      </c>
      <c r="E15" s="917">
        <v>0</v>
      </c>
      <c r="F15" s="917">
        <v>0</v>
      </c>
      <c r="G15" s="815">
        <f t="shared" si="0"/>
        <v>73982586.241691425</v>
      </c>
      <c r="H15" s="707"/>
      <c r="I15" s="707"/>
      <c r="J15" s="707"/>
      <c r="K15" s="707"/>
      <c r="L15" s="707"/>
    </row>
    <row r="16" spans="1:12">
      <c r="A16" s="809">
        <f t="shared" si="1"/>
        <v>7</v>
      </c>
      <c r="B16" s="757" t="s">
        <v>579</v>
      </c>
      <c r="C16" s="814">
        <v>74603172.764327705</v>
      </c>
      <c r="D16" s="917">
        <v>0</v>
      </c>
      <c r="E16" s="917">
        <v>0</v>
      </c>
      <c r="F16" s="917">
        <v>0</v>
      </c>
      <c r="G16" s="815">
        <f t="shared" si="0"/>
        <v>74603172.764327705</v>
      </c>
      <c r="H16" s="707"/>
      <c r="I16" s="707"/>
      <c r="J16" s="707"/>
      <c r="K16" s="707"/>
      <c r="L16" s="707"/>
    </row>
    <row r="17" spans="1:12">
      <c r="A17" s="809">
        <f t="shared" si="1"/>
        <v>8</v>
      </c>
      <c r="B17" s="757" t="s">
        <v>580</v>
      </c>
      <c r="C17" s="814">
        <v>75265186.843485221</v>
      </c>
      <c r="D17" s="917">
        <v>0</v>
      </c>
      <c r="E17" s="917">
        <v>0</v>
      </c>
      <c r="F17" s="917">
        <v>0</v>
      </c>
      <c r="G17" s="815">
        <f t="shared" si="0"/>
        <v>75265186.843485221</v>
      </c>
      <c r="H17" s="707"/>
      <c r="I17" s="707"/>
      <c r="J17" s="707"/>
      <c r="K17" s="707"/>
      <c r="L17" s="707"/>
    </row>
    <row r="18" spans="1:12">
      <c r="A18" s="809">
        <f t="shared" si="1"/>
        <v>9</v>
      </c>
      <c r="B18" s="757" t="s">
        <v>716</v>
      </c>
      <c r="C18" s="814">
        <v>75933529.822020844</v>
      </c>
      <c r="D18" s="917">
        <v>0</v>
      </c>
      <c r="E18" s="917">
        <v>0</v>
      </c>
      <c r="F18" s="917">
        <v>0</v>
      </c>
      <c r="G18" s="815">
        <f t="shared" si="0"/>
        <v>75933529.822020844</v>
      </c>
      <c r="H18" s="707"/>
      <c r="I18" s="707"/>
      <c r="J18" s="707"/>
      <c r="K18" s="707"/>
      <c r="L18" s="707"/>
    </row>
    <row r="19" spans="1:12">
      <c r="A19" s="809">
        <f t="shared" si="1"/>
        <v>10</v>
      </c>
      <c r="B19" s="757" t="s">
        <v>582</v>
      </c>
      <c r="C19" s="814">
        <v>76550440.136403531</v>
      </c>
      <c r="D19" s="917">
        <v>0</v>
      </c>
      <c r="E19" s="917">
        <v>0</v>
      </c>
      <c r="F19" s="917">
        <v>0</v>
      </c>
      <c r="G19" s="815">
        <f t="shared" si="0"/>
        <v>76550440.136403531</v>
      </c>
      <c r="H19" s="707"/>
      <c r="I19" s="707"/>
      <c r="J19" s="707"/>
      <c r="K19" s="707"/>
      <c r="L19" s="707"/>
    </row>
    <row r="20" spans="1:12">
      <c r="A20" s="809">
        <f t="shared" si="1"/>
        <v>11</v>
      </c>
      <c r="B20" s="757" t="s">
        <v>583</v>
      </c>
      <c r="C20" s="814">
        <v>77219808.448617935</v>
      </c>
      <c r="D20" s="917">
        <v>0</v>
      </c>
      <c r="E20" s="917">
        <v>0</v>
      </c>
      <c r="F20" s="917">
        <v>0</v>
      </c>
      <c r="G20" s="815">
        <f t="shared" si="0"/>
        <v>77219808.448617935</v>
      </c>
      <c r="H20" s="707"/>
      <c r="I20" s="707"/>
      <c r="J20" s="707"/>
      <c r="K20" s="707"/>
      <c r="L20" s="707"/>
    </row>
    <row r="21" spans="1:12">
      <c r="A21" s="809">
        <f t="shared" si="1"/>
        <v>12</v>
      </c>
      <c r="B21" s="757" t="s">
        <v>584</v>
      </c>
      <c r="C21" s="814">
        <v>77850545.227996692</v>
      </c>
      <c r="D21" s="917">
        <v>0</v>
      </c>
      <c r="E21" s="917">
        <v>0</v>
      </c>
      <c r="F21" s="917">
        <v>0</v>
      </c>
      <c r="G21" s="815">
        <f t="shared" si="0"/>
        <v>77850545.227996692</v>
      </c>
      <c r="H21" s="707"/>
      <c r="I21" s="707"/>
      <c r="J21" s="707"/>
      <c r="K21" s="707"/>
      <c r="L21" s="707"/>
    </row>
    <row r="22" spans="1:12">
      <c r="A22" s="816">
        <f t="shared" si="1"/>
        <v>13</v>
      </c>
      <c r="B22" s="759" t="s">
        <v>717</v>
      </c>
      <c r="C22" s="814">
        <v>78805074.642105266</v>
      </c>
      <c r="D22" s="814">
        <v>0</v>
      </c>
      <c r="E22" s="814">
        <v>0</v>
      </c>
      <c r="F22" s="814">
        <v>0</v>
      </c>
      <c r="G22" s="815">
        <f t="shared" si="0"/>
        <v>78805074.642105266</v>
      </c>
      <c r="H22" s="707"/>
      <c r="I22" s="707"/>
      <c r="J22" s="707"/>
      <c r="K22" s="707"/>
      <c r="L22" s="707"/>
    </row>
    <row r="23" spans="1:12" ht="13.5" thickBot="1">
      <c r="A23" s="816">
        <f t="shared" si="1"/>
        <v>14</v>
      </c>
      <c r="B23" s="1038" t="s">
        <v>718</v>
      </c>
      <c r="C23" s="1035">
        <f>SUM(C10:C22)/13</f>
        <v>72760292.620330006</v>
      </c>
      <c r="D23" s="1036">
        <f t="shared" ref="D23:G23" si="2">SUM(D10:D22)/13</f>
        <v>0</v>
      </c>
      <c r="E23" s="1036">
        <f t="shared" si="2"/>
        <v>0</v>
      </c>
      <c r="F23" s="1037">
        <f t="shared" si="2"/>
        <v>0</v>
      </c>
      <c r="G23" s="762">
        <f t="shared" si="2"/>
        <v>72760292.620330006</v>
      </c>
      <c r="H23" s="707"/>
      <c r="I23" s="707"/>
      <c r="J23" s="707"/>
      <c r="K23" s="707"/>
      <c r="L23" s="707"/>
    </row>
    <row r="24" spans="1:12" ht="13.5" thickTop="1">
      <c r="A24" s="708"/>
      <c r="B24" s="763"/>
      <c r="C24" s="764"/>
      <c r="D24" s="765"/>
      <c r="E24" s="765"/>
      <c r="F24" s="765"/>
      <c r="G24" s="764"/>
      <c r="H24" s="764"/>
      <c r="I24" s="707"/>
      <c r="J24" s="707"/>
      <c r="K24" s="707"/>
      <c r="L24" s="707"/>
    </row>
    <row r="25" spans="1:12" ht="12.75" customHeight="1">
      <c r="A25" s="708"/>
      <c r="B25" s="744"/>
      <c r="C25" s="1206" t="s">
        <v>540</v>
      </c>
      <c r="D25" s="1207"/>
      <c r="E25" s="1207"/>
      <c r="F25" s="1207"/>
      <c r="G25" s="1207"/>
      <c r="H25" s="1208"/>
      <c r="I25" s="707"/>
      <c r="J25" s="707"/>
      <c r="K25" s="707"/>
      <c r="L25" s="707"/>
    </row>
    <row r="26" spans="1:12" s="808" customFormat="1" ht="38.25">
      <c r="A26" s="806" t="s">
        <v>705</v>
      </c>
      <c r="B26" s="749" t="s">
        <v>706</v>
      </c>
      <c r="C26" s="773" t="s">
        <v>742</v>
      </c>
      <c r="D26" s="750" t="s">
        <v>743</v>
      </c>
      <c r="E26" s="750" t="s">
        <v>757</v>
      </c>
      <c r="F26" s="750" t="s">
        <v>758</v>
      </c>
      <c r="G26" s="750" t="s">
        <v>744</v>
      </c>
      <c r="H26" s="807" t="s">
        <v>756</v>
      </c>
      <c r="I26" s="707"/>
      <c r="J26" s="707"/>
      <c r="K26" s="707"/>
      <c r="L26" s="707"/>
    </row>
    <row r="27" spans="1:12" s="811" customFormat="1">
      <c r="A27" s="809"/>
      <c r="B27" s="752" t="s">
        <v>710</v>
      </c>
      <c r="C27" s="774" t="s">
        <v>725</v>
      </c>
      <c r="D27" s="746" t="s">
        <v>726</v>
      </c>
      <c r="E27" s="746" t="s">
        <v>711</v>
      </c>
      <c r="F27" s="746" t="s">
        <v>712</v>
      </c>
      <c r="G27" s="746" t="s">
        <v>745</v>
      </c>
      <c r="H27" s="810" t="s">
        <v>746</v>
      </c>
      <c r="I27" s="707"/>
      <c r="J27" s="707"/>
      <c r="K27" s="707"/>
      <c r="L27" s="707"/>
    </row>
    <row r="28" spans="1:12" s="811" customFormat="1" ht="44.25" customHeight="1">
      <c r="A28" s="809"/>
      <c r="B28" s="752" t="s">
        <v>713</v>
      </c>
      <c r="C28" s="812" t="s">
        <v>747</v>
      </c>
      <c r="D28" s="754" t="s">
        <v>748</v>
      </c>
      <c r="E28" s="754" t="s">
        <v>749</v>
      </c>
      <c r="F28" s="754" t="s">
        <v>750</v>
      </c>
      <c r="G28" s="754" t="s">
        <v>751</v>
      </c>
      <c r="H28" s="817"/>
      <c r="I28" s="707"/>
      <c r="J28" s="707"/>
      <c r="K28" s="707"/>
      <c r="L28" s="707"/>
    </row>
    <row r="29" spans="1:12">
      <c r="A29" s="809">
        <f>+A23+1</f>
        <v>15</v>
      </c>
      <c r="B29" s="755" t="s">
        <v>714</v>
      </c>
      <c r="C29" s="917">
        <v>0</v>
      </c>
      <c r="D29" s="814">
        <v>0</v>
      </c>
      <c r="E29" s="814">
        <v>57000000</v>
      </c>
      <c r="F29" s="814">
        <v>17538262.908509932</v>
      </c>
      <c r="G29" s="814">
        <v>0</v>
      </c>
      <c r="H29" s="815">
        <f>+C29-D29+E29+F29-G29</f>
        <v>74538262.90850994</v>
      </c>
      <c r="I29" s="707"/>
      <c r="J29" s="707"/>
      <c r="K29" s="707"/>
      <c r="L29" s="707"/>
    </row>
    <row r="30" spans="1:12">
      <c r="A30" s="809">
        <f>+A29+1</f>
        <v>16</v>
      </c>
      <c r="B30" s="755" t="s">
        <v>574</v>
      </c>
      <c r="C30" s="917">
        <v>0</v>
      </c>
      <c r="D30" s="917">
        <v>0</v>
      </c>
      <c r="E30" s="814">
        <v>57000000</v>
      </c>
      <c r="F30" s="814">
        <v>16028045.968244791</v>
      </c>
      <c r="G30" s="917">
        <v>0</v>
      </c>
      <c r="H30" s="815">
        <f t="shared" ref="H30:H41" si="3">+C30-D30+E30+F30-G30</f>
        <v>73028045.968244791</v>
      </c>
      <c r="I30" s="707"/>
      <c r="J30" s="707"/>
      <c r="K30" s="707"/>
      <c r="L30" s="707"/>
    </row>
    <row r="31" spans="1:12">
      <c r="A31" s="809">
        <f t="shared" ref="A31:A42" si="4">+A30+1</f>
        <v>17</v>
      </c>
      <c r="B31" s="757" t="s">
        <v>575</v>
      </c>
      <c r="C31" s="917">
        <v>0</v>
      </c>
      <c r="D31" s="917">
        <v>0</v>
      </c>
      <c r="E31" s="814">
        <v>57000000</v>
      </c>
      <c r="F31" s="814">
        <v>2150695.1497562933</v>
      </c>
      <c r="G31" s="917">
        <v>0</v>
      </c>
      <c r="H31" s="815">
        <f t="shared" si="3"/>
        <v>59150695.14975629</v>
      </c>
      <c r="I31" s="707"/>
      <c r="J31" s="707"/>
      <c r="K31" s="707"/>
      <c r="L31" s="707"/>
    </row>
    <row r="32" spans="1:12">
      <c r="A32" s="809">
        <f t="shared" si="4"/>
        <v>18</v>
      </c>
      <c r="B32" s="757" t="s">
        <v>715</v>
      </c>
      <c r="C32" s="917">
        <v>0</v>
      </c>
      <c r="D32" s="917">
        <v>0</v>
      </c>
      <c r="E32" s="814">
        <v>57000000</v>
      </c>
      <c r="F32" s="814">
        <v>614126.42980970303</v>
      </c>
      <c r="G32" s="917">
        <v>0</v>
      </c>
      <c r="H32" s="815">
        <f t="shared" si="3"/>
        <v>57614126.429809704</v>
      </c>
      <c r="I32" s="707"/>
      <c r="J32" s="707"/>
      <c r="K32" s="707"/>
      <c r="L32" s="707"/>
    </row>
    <row r="33" spans="1:12">
      <c r="A33" s="809">
        <f t="shared" si="4"/>
        <v>19</v>
      </c>
      <c r="B33" s="757" t="s">
        <v>577</v>
      </c>
      <c r="C33" s="917">
        <v>0</v>
      </c>
      <c r="D33" s="917">
        <v>0</v>
      </c>
      <c r="E33" s="814">
        <v>57000000</v>
      </c>
      <c r="F33" s="814">
        <v>-0.2611794407130219</v>
      </c>
      <c r="G33" s="917">
        <v>0</v>
      </c>
      <c r="H33" s="815">
        <f t="shared" si="3"/>
        <v>56999999.73882056</v>
      </c>
      <c r="I33" s="707"/>
      <c r="J33" s="707"/>
      <c r="K33" s="707"/>
      <c r="L33" s="707"/>
    </row>
    <row r="34" spans="1:12">
      <c r="A34" s="809">
        <f t="shared" si="4"/>
        <v>20</v>
      </c>
      <c r="B34" s="757" t="s">
        <v>578</v>
      </c>
      <c r="C34" s="917">
        <v>0</v>
      </c>
      <c r="D34" s="917">
        <v>0</v>
      </c>
      <c r="E34" s="814">
        <v>57000000</v>
      </c>
      <c r="F34" s="814">
        <v>-0.2611794407130219</v>
      </c>
      <c r="G34" s="917">
        <v>0</v>
      </c>
      <c r="H34" s="815">
        <f>+C34-D34+E34+F34-G34</f>
        <v>56999999.73882056</v>
      </c>
      <c r="I34" s="707"/>
      <c r="J34" s="707"/>
      <c r="K34" s="707"/>
      <c r="L34" s="707"/>
    </row>
    <row r="35" spans="1:12">
      <c r="A35" s="809">
        <f t="shared" si="4"/>
        <v>21</v>
      </c>
      <c r="B35" s="757" t="s">
        <v>579</v>
      </c>
      <c r="C35" s="917">
        <v>0</v>
      </c>
      <c r="D35" s="917">
        <v>0</v>
      </c>
      <c r="E35" s="814">
        <v>57000000</v>
      </c>
      <c r="F35" s="814">
        <v>-0.2611794407130219</v>
      </c>
      <c r="G35" s="917">
        <v>0</v>
      </c>
      <c r="H35" s="815">
        <f t="shared" si="3"/>
        <v>56999999.73882056</v>
      </c>
      <c r="I35" s="707"/>
      <c r="J35" s="707"/>
      <c r="K35" s="707"/>
      <c r="L35" s="707"/>
    </row>
    <row r="36" spans="1:12">
      <c r="A36" s="809">
        <f t="shared" si="4"/>
        <v>22</v>
      </c>
      <c r="B36" s="757" t="s">
        <v>580</v>
      </c>
      <c r="C36" s="917">
        <v>0</v>
      </c>
      <c r="D36" s="917">
        <v>0</v>
      </c>
      <c r="E36" s="814">
        <v>57000000</v>
      </c>
      <c r="F36" s="814">
        <v>-0.2611794407130219</v>
      </c>
      <c r="G36" s="917">
        <v>0</v>
      </c>
      <c r="H36" s="815">
        <f t="shared" si="3"/>
        <v>56999999.73882056</v>
      </c>
      <c r="I36" s="707"/>
      <c r="J36" s="707"/>
      <c r="K36" s="707"/>
      <c r="L36" s="707"/>
    </row>
    <row r="37" spans="1:12">
      <c r="A37" s="809">
        <f t="shared" si="4"/>
        <v>23</v>
      </c>
      <c r="B37" s="757" t="s">
        <v>716</v>
      </c>
      <c r="C37" s="917">
        <v>0</v>
      </c>
      <c r="D37" s="917">
        <v>0</v>
      </c>
      <c r="E37" s="814">
        <v>57000000</v>
      </c>
      <c r="F37" s="814">
        <v>-0.2611794407130219</v>
      </c>
      <c r="G37" s="917">
        <v>0</v>
      </c>
      <c r="H37" s="815">
        <f t="shared" si="3"/>
        <v>56999999.73882056</v>
      </c>
      <c r="I37" s="707"/>
      <c r="J37" s="707"/>
      <c r="K37" s="707"/>
      <c r="L37" s="707"/>
    </row>
    <row r="38" spans="1:12">
      <c r="A38" s="809">
        <f t="shared" si="4"/>
        <v>24</v>
      </c>
      <c r="B38" s="757" t="s">
        <v>582</v>
      </c>
      <c r="C38" s="917">
        <v>0</v>
      </c>
      <c r="D38" s="917">
        <v>0</v>
      </c>
      <c r="E38" s="814">
        <v>57000000</v>
      </c>
      <c r="F38" s="814">
        <v>-0.2611794407130219</v>
      </c>
      <c r="G38" s="917">
        <v>0</v>
      </c>
      <c r="H38" s="815">
        <f t="shared" si="3"/>
        <v>56999999.73882056</v>
      </c>
      <c r="I38" s="707"/>
      <c r="J38" s="707"/>
      <c r="K38" s="707"/>
      <c r="L38" s="707"/>
    </row>
    <row r="39" spans="1:12">
      <c r="A39" s="809">
        <f t="shared" si="4"/>
        <v>25</v>
      </c>
      <c r="B39" s="757" t="s">
        <v>583</v>
      </c>
      <c r="C39" s="917">
        <v>0</v>
      </c>
      <c r="D39" s="917">
        <v>0</v>
      </c>
      <c r="E39" s="814">
        <v>57000000</v>
      </c>
      <c r="F39" s="814">
        <v>-0.2611794407130219</v>
      </c>
      <c r="G39" s="917">
        <v>0</v>
      </c>
      <c r="H39" s="815">
        <f t="shared" si="3"/>
        <v>56999999.73882056</v>
      </c>
      <c r="I39" s="707"/>
      <c r="J39" s="707"/>
      <c r="K39" s="707"/>
      <c r="L39" s="707"/>
    </row>
    <row r="40" spans="1:12">
      <c r="A40" s="809">
        <f t="shared" si="4"/>
        <v>26</v>
      </c>
      <c r="B40" s="757" t="s">
        <v>584</v>
      </c>
      <c r="C40" s="917">
        <v>0</v>
      </c>
      <c r="D40" s="917">
        <v>0</v>
      </c>
      <c r="E40" s="814">
        <v>53000000</v>
      </c>
      <c r="F40" s="814">
        <v>-0.2611794407130219</v>
      </c>
      <c r="G40" s="917">
        <v>0</v>
      </c>
      <c r="H40" s="815">
        <f t="shared" si="3"/>
        <v>52999999.73882056</v>
      </c>
      <c r="I40" s="707"/>
      <c r="J40" s="707"/>
      <c r="K40" s="707"/>
      <c r="L40" s="707"/>
    </row>
    <row r="41" spans="1:12">
      <c r="A41" s="816">
        <f t="shared" si="4"/>
        <v>27</v>
      </c>
      <c r="B41" s="759" t="s">
        <v>717</v>
      </c>
      <c r="C41" s="814">
        <v>0</v>
      </c>
      <c r="D41" s="814">
        <v>0</v>
      </c>
      <c r="E41" s="814">
        <v>50000000</v>
      </c>
      <c r="F41" s="814">
        <v>-0.2611794407130219</v>
      </c>
      <c r="G41" s="814">
        <v>0</v>
      </c>
      <c r="H41" s="815">
        <f t="shared" si="3"/>
        <v>49999999.73882056</v>
      </c>
      <c r="I41" s="707"/>
      <c r="J41" s="707"/>
      <c r="K41" s="707"/>
      <c r="L41" s="707"/>
    </row>
    <row r="42" spans="1:12" ht="13.5" thickBot="1">
      <c r="A42" s="819">
        <f t="shared" si="4"/>
        <v>28</v>
      </c>
      <c r="B42" s="1034" t="s">
        <v>718</v>
      </c>
      <c r="C42" s="1035">
        <f t="shared" ref="C42" si="5">SUM(C29:C41)/13</f>
        <v>0</v>
      </c>
      <c r="D42" s="1036">
        <f t="shared" ref="D42" si="6">SUM(D29:D41)/13</f>
        <v>0</v>
      </c>
      <c r="E42" s="1036">
        <f t="shared" ref="E42" si="7">SUM(E29:E41)/13</f>
        <v>56153846.153846152</v>
      </c>
      <c r="F42" s="1036">
        <f t="shared" ref="F42" si="8">SUM(F29:F41)/13</f>
        <v>2794702.1619773661</v>
      </c>
      <c r="G42" s="1037">
        <f t="shared" ref="G42:H42" si="9">SUM(G29:G41)/13</f>
        <v>0</v>
      </c>
      <c r="H42" s="1037">
        <f t="shared" si="9"/>
        <v>58948548.315823518</v>
      </c>
      <c r="I42" s="707"/>
      <c r="J42" s="707"/>
      <c r="K42" s="707"/>
      <c r="L42" s="707"/>
    </row>
    <row r="43" spans="1:12" ht="13.5" thickTop="1">
      <c r="A43" s="801"/>
      <c r="B43" s="820"/>
      <c r="C43" s="821"/>
      <c r="D43" s="822"/>
      <c r="E43" s="822"/>
      <c r="F43" s="822"/>
      <c r="G43" s="821"/>
      <c r="H43" s="821"/>
      <c r="I43" s="707"/>
      <c r="J43" s="707"/>
      <c r="K43" s="707"/>
      <c r="L43" s="707"/>
    </row>
    <row r="44" spans="1:12" ht="12.75" customHeight="1">
      <c r="A44" s="823" t="s">
        <v>752</v>
      </c>
      <c r="F44" s="824"/>
      <c r="G44" s="824"/>
      <c r="H44" s="824"/>
      <c r="I44" s="707"/>
      <c r="J44" s="707"/>
      <c r="K44" s="707"/>
    </row>
    <row r="45" spans="1:12">
      <c r="E45" s="824"/>
      <c r="F45" s="824"/>
      <c r="G45" s="824"/>
      <c r="H45" s="824"/>
      <c r="J45" s="820"/>
    </row>
    <row r="46" spans="1:12" ht="15">
      <c r="A46" s="826" t="s">
        <v>340</v>
      </c>
      <c r="E46" s="824"/>
      <c r="F46" s="824"/>
      <c r="G46" s="824"/>
      <c r="H46" s="708"/>
    </row>
    <row r="47" spans="1:12" ht="15">
      <c r="A47" s="826"/>
      <c r="B47" s="827" t="s">
        <v>710</v>
      </c>
      <c r="C47" s="827" t="s">
        <v>725</v>
      </c>
      <c r="D47" s="828" t="s">
        <v>726</v>
      </c>
      <c r="E47" s="827" t="s">
        <v>711</v>
      </c>
      <c r="F47" s="828" t="s">
        <v>712</v>
      </c>
      <c r="G47" s="827" t="s">
        <v>745</v>
      </c>
      <c r="H47" s="827" t="s">
        <v>753</v>
      </c>
    </row>
    <row r="48" spans="1:12">
      <c r="A48" s="494">
        <f>+A42+1</f>
        <v>29</v>
      </c>
      <c r="B48" s="829" t="str">
        <f>"Annual Interest Expense for "&amp;TCOS!L4</f>
        <v>Annual Interest Expense for 2026</v>
      </c>
      <c r="C48" s="830"/>
      <c r="D48" s="831"/>
      <c r="E48" s="832"/>
      <c r="F48" s="832"/>
      <c r="G48" s="832"/>
      <c r="H48" s="832"/>
      <c r="I48" s="832"/>
      <c r="J48" s="832"/>
      <c r="K48" s="832"/>
      <c r="L48" s="832"/>
    </row>
    <row r="49" spans="1:12">
      <c r="A49" s="494">
        <f>+A48+1</f>
        <v>30</v>
      </c>
      <c r="B49" s="887" t="s">
        <v>770</v>
      </c>
      <c r="C49" s="830"/>
      <c r="D49" s="831"/>
      <c r="E49" s="834">
        <v>2295149.9024663712</v>
      </c>
      <c r="F49" s="832"/>
      <c r="G49" s="832"/>
      <c r="H49" s="832"/>
      <c r="I49" s="832"/>
      <c r="J49" s="832"/>
      <c r="K49" s="832"/>
      <c r="L49" s="832"/>
    </row>
    <row r="50" spans="1:12" ht="28.5" customHeight="1">
      <c r="A50" s="494">
        <f t="shared" ref="A50:A55" si="10">+A49+1</f>
        <v>31</v>
      </c>
      <c r="B50" s="1200" t="str">
        <f>"Less: Total Hedge Gain/Expense Accumulated from p 256-257, col. (i) of FERC Form 1  included in Ln "&amp;A49&amp;" and shown in "&amp;A68&amp;" below."</f>
        <v>Less: Total Hedge Gain/Expense Accumulated from p 256-257, col. (i) of FERC Form 1  included in Ln 30 and shown in 43 below.</v>
      </c>
      <c r="C50" s="1201"/>
      <c r="D50" s="831"/>
      <c r="E50" s="830">
        <f>+C68</f>
        <v>0</v>
      </c>
      <c r="F50" s="832"/>
      <c r="G50" s="832"/>
      <c r="H50" s="832"/>
      <c r="I50" s="832"/>
      <c r="J50" s="832"/>
      <c r="K50" s="832"/>
      <c r="L50" s="832"/>
    </row>
    <row r="51" spans="1:12">
      <c r="A51" s="494">
        <f t="shared" si="10"/>
        <v>32</v>
      </c>
      <c r="B51" s="887" t="s">
        <v>771</v>
      </c>
      <c r="C51" s="832"/>
      <c r="D51" s="832"/>
      <c r="E51" s="834">
        <v>0</v>
      </c>
      <c r="F51" s="832"/>
      <c r="G51" s="832"/>
      <c r="H51" s="832"/>
      <c r="I51" s="832"/>
      <c r="J51" s="832"/>
    </row>
    <row r="52" spans="1:12">
      <c r="A52" s="494">
        <f t="shared" si="10"/>
        <v>33</v>
      </c>
      <c r="B52" s="887" t="s">
        <v>772</v>
      </c>
      <c r="C52" s="835"/>
      <c r="D52" s="831"/>
      <c r="E52" s="834">
        <v>0</v>
      </c>
      <c r="F52" s="832"/>
      <c r="G52" s="832"/>
      <c r="H52" s="832"/>
      <c r="I52" s="832"/>
      <c r="J52" s="832"/>
    </row>
    <row r="53" spans="1:12">
      <c r="A53" s="494">
        <f t="shared" si="10"/>
        <v>34</v>
      </c>
      <c r="B53" s="887" t="s">
        <v>773</v>
      </c>
      <c r="C53" s="835"/>
      <c r="D53" s="831"/>
      <c r="E53" s="834"/>
      <c r="F53" s="832"/>
      <c r="G53" s="832"/>
      <c r="H53" s="832"/>
      <c r="I53" s="832"/>
      <c r="J53" s="832"/>
    </row>
    <row r="54" spans="1:12" ht="13.5" thickBot="1">
      <c r="A54" s="494">
        <f t="shared" si="10"/>
        <v>35</v>
      </c>
      <c r="B54" s="887" t="s">
        <v>774</v>
      </c>
      <c r="C54" s="835"/>
      <c r="D54" s="831"/>
      <c r="E54" s="836"/>
      <c r="F54" s="832"/>
      <c r="G54" s="832"/>
      <c r="H54" s="832"/>
      <c r="I54" s="832"/>
      <c r="J54" s="832"/>
    </row>
    <row r="55" spans="1:12">
      <c r="A55" s="494">
        <f t="shared" si="10"/>
        <v>36</v>
      </c>
      <c r="B55" s="829" t="str">
        <f>"Total Interest Expense (Ln "&amp;A49&amp;" - "&amp;A50&amp;" + "&amp;A51&amp;" + "&amp;A52&amp;" - "&amp;A53&amp;" - "&amp;A54&amp;")"</f>
        <v>Total Interest Expense (Ln 30 - 31 + 32 + 33 - 34 - 35)</v>
      </c>
      <c r="C55" s="837"/>
      <c r="D55" s="838"/>
      <c r="E55" s="839">
        <f>+E49-E50+E51+E52-E53-E54</f>
        <v>2295149.9024663712</v>
      </c>
      <c r="F55" s="832"/>
      <c r="G55" s="832"/>
      <c r="H55" s="832"/>
      <c r="I55" s="832"/>
      <c r="J55" s="832"/>
    </row>
    <row r="56" spans="1:12" ht="13.5" thickBot="1">
      <c r="A56" s="494"/>
      <c r="B56" s="833"/>
      <c r="C56" s="835"/>
      <c r="D56" s="831"/>
      <c r="E56" s="840"/>
      <c r="F56" s="832"/>
      <c r="G56" s="832"/>
      <c r="H56" s="832"/>
      <c r="I56" s="832"/>
      <c r="J56" s="832"/>
    </row>
    <row r="57" spans="1:12" ht="13.5" thickBot="1">
      <c r="A57" s="494">
        <f>+A55+1</f>
        <v>37</v>
      </c>
      <c r="B57" s="829" t="str">
        <f>"Average Cost of Debt for "&amp;TCOS!L4&amp;" (Ln "&amp;A55&amp;"/ ln "&amp;A42&amp;" (g))"</f>
        <v>Average Cost of Debt for 2026 (Ln 36/ ln 28 (g))</v>
      </c>
      <c r="C57" s="837"/>
      <c r="D57" s="831"/>
      <c r="E57" s="841">
        <f>+E55/H42</f>
        <v>3.8934799380806559E-2</v>
      </c>
      <c r="F57" s="832"/>
      <c r="G57" s="832"/>
      <c r="H57" s="832"/>
      <c r="I57" s="832"/>
      <c r="J57" s="832"/>
    </row>
    <row r="58" spans="1:12">
      <c r="A58" s="842"/>
      <c r="B58" s="833"/>
      <c r="C58" s="835"/>
      <c r="D58" s="831"/>
      <c r="E58" s="835"/>
      <c r="F58" s="832"/>
      <c r="G58" s="832"/>
      <c r="H58" s="832"/>
      <c r="I58" s="832"/>
      <c r="J58" s="832"/>
    </row>
    <row r="59" spans="1:12" ht="16.5" customHeight="1">
      <c r="A59" s="843"/>
      <c r="B59" s="1202" t="s">
        <v>754</v>
      </c>
      <c r="C59" s="1202"/>
      <c r="D59" s="1202"/>
      <c r="E59" s="1202"/>
      <c r="F59" s="844"/>
      <c r="G59" s="832"/>
      <c r="H59" s="832"/>
      <c r="I59" s="832"/>
      <c r="J59" s="832"/>
    </row>
    <row r="60" spans="1:12" ht="21" customHeight="1">
      <c r="A60" s="845">
        <f>+A57+1</f>
        <v>38</v>
      </c>
      <c r="B60" s="1203" t="str">
        <f>""&amp;A4&amp;" may not include costs (or gains) related to interest hedging activities."</f>
        <v>AEP Kentucky Transmission Company may not include costs (or gains) related to interest hedging activities.</v>
      </c>
      <c r="C60" s="1203"/>
      <c r="D60" s="1203"/>
      <c r="E60" s="1203"/>
      <c r="F60" s="1203"/>
      <c r="G60" s="846"/>
      <c r="H60" s="846"/>
      <c r="I60" s="832"/>
      <c r="J60" s="832"/>
    </row>
    <row r="61" spans="1:12">
      <c r="A61" s="847"/>
      <c r="B61" s="848"/>
      <c r="C61" s="848"/>
      <c r="D61" s="848"/>
      <c r="E61" s="1204" t="s">
        <v>227</v>
      </c>
      <c r="F61" s="1204"/>
      <c r="G61" s="707"/>
      <c r="H61" s="707"/>
      <c r="I61" s="832"/>
      <c r="J61" s="832"/>
    </row>
    <row r="62" spans="1:12" ht="38.25">
      <c r="A62" s="494"/>
      <c r="B62" s="850" t="s">
        <v>228</v>
      </c>
      <c r="C62" s="850" t="str">
        <f>"(Amortization of (Gain)/Loss for "&amp;TCOS!L4</f>
        <v>(Amortization of (Gain)/Loss for 2026</v>
      </c>
      <c r="D62" s="849" t="s">
        <v>229</v>
      </c>
      <c r="E62" s="849" t="s">
        <v>86</v>
      </c>
      <c r="F62" s="849" t="s">
        <v>88</v>
      </c>
      <c r="G62" s="707"/>
      <c r="H62" s="707"/>
      <c r="I62" s="832"/>
      <c r="J62" s="832"/>
    </row>
    <row r="63" spans="1:12">
      <c r="A63" s="494">
        <f>+A60+1</f>
        <v>39</v>
      </c>
      <c r="B63" s="851"/>
      <c r="C63" s="818"/>
      <c r="D63" s="851"/>
      <c r="E63" s="851"/>
      <c r="F63" s="852"/>
      <c r="G63" s="707"/>
      <c r="H63" s="707"/>
      <c r="I63" s="832"/>
      <c r="J63" s="832"/>
    </row>
    <row r="64" spans="1:12">
      <c r="A64" s="494">
        <f>+A63+1</f>
        <v>40</v>
      </c>
      <c r="B64" s="851"/>
      <c r="C64" s="818"/>
      <c r="D64" s="851"/>
      <c r="E64" s="851"/>
      <c r="F64" s="852"/>
      <c r="G64" s="853"/>
      <c r="H64" s="853"/>
      <c r="I64" s="832"/>
      <c r="J64" s="832"/>
    </row>
    <row r="65" spans="1:10">
      <c r="A65" s="494">
        <f>+A64+1</f>
        <v>41</v>
      </c>
      <c r="B65" s="851"/>
      <c r="C65" s="818"/>
      <c r="D65" s="854"/>
      <c r="E65" s="854"/>
      <c r="F65" s="852"/>
      <c r="G65" s="853"/>
      <c r="H65" s="853"/>
      <c r="I65" s="832"/>
      <c r="J65" s="832"/>
    </row>
    <row r="66" spans="1:10">
      <c r="A66" s="494">
        <f>+A65+1</f>
        <v>42</v>
      </c>
      <c r="B66" s="851"/>
      <c r="C66" s="818"/>
      <c r="D66" s="854"/>
      <c r="E66" s="854"/>
      <c r="F66" s="855"/>
      <c r="G66" s="856"/>
      <c r="H66" s="857"/>
      <c r="I66" s="832"/>
      <c r="J66" s="832"/>
    </row>
    <row r="67" spans="1:10">
      <c r="A67" s="494"/>
      <c r="B67" s="832"/>
      <c r="C67" s="858"/>
      <c r="D67" s="858"/>
      <c r="E67" s="859"/>
      <c r="F67" s="832"/>
      <c r="G67" s="832"/>
      <c r="H67" s="832"/>
    </row>
    <row r="68" spans="1:10">
      <c r="A68" s="494">
        <f>+A66+1</f>
        <v>43</v>
      </c>
      <c r="B68" s="860" t="s">
        <v>253</v>
      </c>
      <c r="C68" s="840">
        <f>SUM(C63:C67)</f>
        <v>0</v>
      </c>
      <c r="D68" s="840">
        <f>SUM(D63:D67)</f>
        <v>0</v>
      </c>
      <c r="E68" s="840">
        <f>SUM(E63:E67)</f>
        <v>0</v>
      </c>
      <c r="F68" s="861">
        <f>SUM(F63:F67)</f>
        <v>0</v>
      </c>
      <c r="G68" s="832"/>
      <c r="H68" s="832"/>
    </row>
    <row r="69" spans="1:10">
      <c r="A69" s="494"/>
      <c r="B69" s="833"/>
      <c r="C69" s="840"/>
      <c r="D69" s="840"/>
      <c r="E69" s="840"/>
      <c r="F69" s="832"/>
      <c r="G69" s="832"/>
      <c r="H69" s="832"/>
    </row>
    <row r="70" spans="1:10">
      <c r="A70" s="494"/>
      <c r="B70" s="829"/>
      <c r="C70" s="835"/>
      <c r="D70" s="831"/>
      <c r="E70" s="862"/>
      <c r="F70" s="832"/>
      <c r="G70" s="832"/>
      <c r="H70" s="832"/>
    </row>
    <row r="71" spans="1:10">
      <c r="A71" s="494"/>
      <c r="B71" s="829"/>
      <c r="C71" s="835"/>
      <c r="D71" s="831"/>
      <c r="E71" s="862"/>
      <c r="F71" s="832"/>
      <c r="G71" s="832"/>
      <c r="H71" s="832"/>
    </row>
    <row r="72" spans="1:10" ht="15">
      <c r="A72" s="863" t="s">
        <v>345</v>
      </c>
      <c r="B72" s="829"/>
      <c r="C72" s="835"/>
      <c r="D72" s="831"/>
      <c r="E72" s="862"/>
      <c r="F72" s="832"/>
      <c r="G72" s="832"/>
      <c r="H72" s="832"/>
    </row>
    <row r="73" spans="1:10">
      <c r="A73" s="494"/>
      <c r="B73" s="829"/>
      <c r="C73" s="835"/>
      <c r="D73" s="831"/>
      <c r="E73" s="862"/>
      <c r="F73" s="832"/>
      <c r="G73" s="832"/>
      <c r="H73" s="832"/>
    </row>
    <row r="74" spans="1:10">
      <c r="A74" s="864">
        <f>+A68+1</f>
        <v>44</v>
      </c>
      <c r="B74" s="831" t="str">
        <f>"Balance of Preferred Stock (Line "&amp;A23&amp;" (c))"</f>
        <v>Balance of Preferred Stock (Line 14 (c))</v>
      </c>
      <c r="E74" s="865">
        <f>+D23</f>
        <v>0</v>
      </c>
    </row>
    <row r="75" spans="1:10">
      <c r="A75" s="494">
        <f>+A74+1</f>
        <v>45</v>
      </c>
      <c r="B75" s="831" t="s">
        <v>755</v>
      </c>
      <c r="E75" s="855"/>
    </row>
    <row r="76" spans="1:10">
      <c r="A76" s="494">
        <f>+A75+1</f>
        <v>46</v>
      </c>
      <c r="B76" s="831" t="str">
        <f>"Average Cost of Preferred Stock (Ln "&amp;A75&amp;" / ln "&amp;A74&amp;")"</f>
        <v>Average Cost of Preferred Stock (Ln 45 / ln 44)</v>
      </c>
      <c r="E76" s="866" t="e">
        <f>+E75/E74</f>
        <v>#DIV/0!</v>
      </c>
    </row>
  </sheetData>
  <mergeCells count="10">
    <mergeCell ref="A1:G1"/>
    <mergeCell ref="A2:G2"/>
    <mergeCell ref="A3:G3"/>
    <mergeCell ref="C6:G6"/>
    <mergeCell ref="C25:H25"/>
    <mergeCell ref="B50:C50"/>
    <mergeCell ref="B59:E59"/>
    <mergeCell ref="B60:F60"/>
    <mergeCell ref="E61:F61"/>
    <mergeCell ref="A4:G4"/>
  </mergeCells>
  <pageMargins left="0.7" right="0.7" top="0.75" bottom="0.75" header="0.3" footer="0.3"/>
  <pageSetup scale="66" fitToHeight="0" orientation="landscape" cellComments="asDisplayed" r:id="rId1"/>
  <headerFooter>
    <oddHeader xml:space="preserve">&amp;L&amp;"Times New Roman,Bold Italic"Privileged and Confidential 
Subject to FERC Rules 602 and 606 
&amp;RPage &amp;P of &amp;N
</oddHeader>
  </headerFooter>
  <rowBreaks count="1" manualBreakCount="1">
    <brk id="4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L90"/>
  <sheetViews>
    <sheetView topLeftCell="A31" zoomScale="90" zoomScaleNormal="90" zoomScaleSheetLayoutView="70" workbookViewId="0">
      <selection activeCell="G46" sqref="G46:H62"/>
    </sheetView>
  </sheetViews>
  <sheetFormatPr defaultColWidth="11.42578125" defaultRowHeight="12.75"/>
  <cols>
    <col min="1" max="1" width="10.28515625" style="782" customWidth="1"/>
    <col min="2" max="2" width="57.42578125" style="3" customWidth="1"/>
    <col min="3" max="3" width="26.7109375" style="3" bestFit="1" customWidth="1"/>
    <col min="4" max="4" width="25" style="3" customWidth="1"/>
    <col min="5" max="11" width="20.28515625" style="3" customWidth="1"/>
    <col min="12" max="12" width="20" style="3" customWidth="1"/>
    <col min="13" max="14" width="15.140625" style="3" customWidth="1"/>
    <col min="15" max="16384" width="11.42578125" style="3"/>
  </cols>
  <sheetData>
    <row r="1" spans="1:12" ht="15">
      <c r="A1" s="1141" t="str">
        <f>TCOS!F5</f>
        <v>AEPTCo subsidiaries in PJM</v>
      </c>
      <c r="B1" s="1141" t="s">
        <v>329</v>
      </c>
      <c r="C1" s="1141" t="s">
        <v>329</v>
      </c>
      <c r="D1" s="1141" t="s">
        <v>329</v>
      </c>
      <c r="E1" s="1141" t="s">
        <v>329</v>
      </c>
      <c r="F1" s="1141" t="s">
        <v>329</v>
      </c>
      <c r="G1" s="1141" t="s">
        <v>329</v>
      </c>
      <c r="H1" s="47"/>
      <c r="I1" s="47"/>
    </row>
    <row r="2" spans="1:12" ht="15">
      <c r="A2" s="1142" t="str">
        <f>"Cost of Service Formula Rate Using Actual/Projected FF1 Balances"</f>
        <v>Cost of Service Formula Rate Using Actual/Projected FF1 Balances</v>
      </c>
      <c r="B2" s="1142"/>
      <c r="C2" s="1142"/>
      <c r="D2" s="1142"/>
      <c r="E2" s="1142"/>
      <c r="F2" s="1142"/>
      <c r="G2" s="1142"/>
      <c r="H2" s="47"/>
      <c r="I2" s="47"/>
      <c r="J2" s="47"/>
      <c r="L2" s="743"/>
    </row>
    <row r="3" spans="1:12" ht="15">
      <c r="A3" s="1142" t="s">
        <v>703</v>
      </c>
      <c r="B3" s="1142"/>
      <c r="C3" s="1142"/>
      <c r="D3" s="1142"/>
      <c r="E3" s="1142"/>
      <c r="F3" s="1142"/>
      <c r="G3" s="1142"/>
      <c r="H3" s="47"/>
      <c r="I3" s="47"/>
      <c r="J3" s="47"/>
    </row>
    <row r="4" spans="1:12" ht="15">
      <c r="A4" s="1143" t="str">
        <f>TCOS!F9</f>
        <v>AEP Kentucky Transmission Company</v>
      </c>
      <c r="B4" s="1143"/>
      <c r="C4" s="1143"/>
      <c r="D4" s="1143"/>
      <c r="E4" s="1143"/>
      <c r="F4" s="1143"/>
      <c r="G4" s="1143"/>
      <c r="H4" s="47"/>
      <c r="I4" s="47"/>
      <c r="J4" s="47"/>
    </row>
    <row r="5" spans="1:12">
      <c r="A5" s="47"/>
      <c r="B5" s="744"/>
      <c r="C5" s="744"/>
      <c r="D5" s="744"/>
      <c r="E5" s="745"/>
      <c r="F5" s="746"/>
      <c r="H5" s="746"/>
      <c r="J5" s="746"/>
      <c r="L5" s="746"/>
    </row>
    <row r="6" spans="1:12" ht="12.75" customHeight="1">
      <c r="A6" s="47"/>
      <c r="B6" s="744"/>
      <c r="C6" s="1144" t="s">
        <v>704</v>
      </c>
      <c r="D6" s="1145"/>
      <c r="E6" s="1145"/>
      <c r="F6" s="1145"/>
      <c r="G6" s="1145"/>
      <c r="H6" s="1145"/>
      <c r="I6" s="1146"/>
      <c r="J6" s="747"/>
      <c r="K6" s="747"/>
    </row>
    <row r="7" spans="1:12" s="522" customFormat="1" ht="25.5">
      <c r="A7" s="748" t="s">
        <v>705</v>
      </c>
      <c r="B7" s="749" t="s">
        <v>706</v>
      </c>
      <c r="C7" s="750" t="s">
        <v>415</v>
      </c>
      <c r="D7" s="750" t="s">
        <v>707</v>
      </c>
      <c r="E7" s="750" t="s">
        <v>136</v>
      </c>
      <c r="F7" s="750" t="s">
        <v>708</v>
      </c>
      <c r="G7" s="1086" t="s">
        <v>709</v>
      </c>
      <c r="H7" s="1090"/>
      <c r="I7" s="1091"/>
      <c r="L7" s="3"/>
    </row>
    <row r="8" spans="1:12" s="753" customFormat="1">
      <c r="A8" s="751"/>
      <c r="B8" s="752" t="s">
        <v>710</v>
      </c>
      <c r="C8" s="1092" t="s">
        <v>725</v>
      </c>
      <c r="D8" s="1092" t="s">
        <v>726</v>
      </c>
      <c r="E8" s="1092" t="s">
        <v>711</v>
      </c>
      <c r="F8" s="1092" t="s">
        <v>712</v>
      </c>
      <c r="G8" s="1100" t="s">
        <v>745</v>
      </c>
      <c r="H8" s="1092"/>
      <c r="I8" s="1093"/>
      <c r="L8" s="3"/>
    </row>
    <row r="9" spans="1:12" s="753" customFormat="1" ht="44.25" customHeight="1">
      <c r="A9" s="751"/>
      <c r="B9" s="752" t="s">
        <v>713</v>
      </c>
      <c r="C9" s="754" t="s">
        <v>231</v>
      </c>
      <c r="D9" s="754" t="s">
        <v>232</v>
      </c>
      <c r="E9" s="754" t="s">
        <v>233</v>
      </c>
      <c r="F9" s="754" t="s">
        <v>234</v>
      </c>
      <c r="G9" s="754" t="s">
        <v>235</v>
      </c>
      <c r="H9" s="1098"/>
      <c r="I9" s="1099"/>
      <c r="L9" s="3"/>
    </row>
    <row r="10" spans="1:12">
      <c r="A10" s="751">
        <v>1</v>
      </c>
      <c r="B10" s="755" t="s">
        <v>714</v>
      </c>
      <c r="C10" s="1069">
        <v>161637972.63122895</v>
      </c>
      <c r="D10" s="756"/>
      <c r="E10" s="1069">
        <v>27142159.571925517</v>
      </c>
      <c r="F10" s="756"/>
      <c r="G10" s="1069"/>
      <c r="H10" s="1076"/>
      <c r="I10" s="1077"/>
    </row>
    <row r="11" spans="1:12">
      <c r="A11" s="751">
        <f>+A10+1</f>
        <v>2</v>
      </c>
      <c r="B11" s="755" t="s">
        <v>574</v>
      </c>
      <c r="C11" s="1070">
        <v>161902408.20492586</v>
      </c>
      <c r="D11" s="915"/>
      <c r="E11" s="1070">
        <v>27144478.098059222</v>
      </c>
      <c r="F11" s="915"/>
      <c r="G11" s="1070"/>
      <c r="H11" s="1076"/>
      <c r="I11" s="1077"/>
    </row>
    <row r="12" spans="1:12">
      <c r="A12" s="751">
        <f t="shared" ref="A12:A23" si="0">+A11+1</f>
        <v>3</v>
      </c>
      <c r="B12" s="757" t="s">
        <v>575</v>
      </c>
      <c r="C12" s="1070">
        <v>162108274.41542196</v>
      </c>
      <c r="D12" s="915"/>
      <c r="E12" s="1070">
        <v>27146288.887958053</v>
      </c>
      <c r="F12" s="915"/>
      <c r="G12" s="1070"/>
      <c r="H12" s="1076"/>
      <c r="I12" s="1077"/>
    </row>
    <row r="13" spans="1:12">
      <c r="A13" s="751">
        <f t="shared" si="0"/>
        <v>4</v>
      </c>
      <c r="B13" s="757" t="s">
        <v>715</v>
      </c>
      <c r="C13" s="1070">
        <v>162119788.15461311</v>
      </c>
      <c r="D13" s="915"/>
      <c r="E13" s="1070">
        <v>27074857.923237439</v>
      </c>
      <c r="F13" s="915"/>
      <c r="G13" s="1070"/>
      <c r="H13" s="1076"/>
      <c r="I13" s="1077"/>
    </row>
    <row r="14" spans="1:12">
      <c r="A14" s="751">
        <f t="shared" si="0"/>
        <v>5</v>
      </c>
      <c r="B14" s="757" t="s">
        <v>577</v>
      </c>
      <c r="C14" s="1070">
        <v>162140157.17679831</v>
      </c>
      <c r="D14" s="915"/>
      <c r="E14" s="1070">
        <v>27075119.332406726</v>
      </c>
      <c r="F14" s="915"/>
      <c r="G14" s="1070"/>
      <c r="H14" s="1076"/>
      <c r="I14" s="1077"/>
    </row>
    <row r="15" spans="1:12">
      <c r="A15" s="751">
        <f t="shared" si="0"/>
        <v>6</v>
      </c>
      <c r="B15" s="757" t="s">
        <v>578</v>
      </c>
      <c r="C15" s="1070">
        <v>162159826.012169</v>
      </c>
      <c r="D15" s="915"/>
      <c r="E15" s="1070">
        <v>27075393.543553874</v>
      </c>
      <c r="F15" s="915"/>
      <c r="G15" s="1070"/>
      <c r="H15" s="1076"/>
      <c r="I15" s="1077"/>
    </row>
    <row r="16" spans="1:12">
      <c r="A16" s="751">
        <f t="shared" si="0"/>
        <v>7</v>
      </c>
      <c r="B16" s="757" t="s">
        <v>579</v>
      </c>
      <c r="C16" s="1070">
        <v>162169764.77925617</v>
      </c>
      <c r="D16" s="915"/>
      <c r="E16" s="1070">
        <v>27017832.863484193</v>
      </c>
      <c r="F16" s="915"/>
      <c r="G16" s="1070"/>
      <c r="H16" s="1076"/>
      <c r="I16" s="1077"/>
    </row>
    <row r="17" spans="1:12">
      <c r="A17" s="751">
        <f t="shared" si="0"/>
        <v>8</v>
      </c>
      <c r="B17" s="757" t="s">
        <v>580</v>
      </c>
      <c r="C17" s="1070">
        <v>162321572.20753747</v>
      </c>
      <c r="D17" s="915"/>
      <c r="E17" s="1070">
        <v>27018133.754925463</v>
      </c>
      <c r="F17" s="915"/>
      <c r="G17" s="1070"/>
      <c r="H17" s="1076"/>
      <c r="I17" s="1077"/>
    </row>
    <row r="18" spans="1:12">
      <c r="A18" s="751">
        <f t="shared" si="0"/>
        <v>9</v>
      </c>
      <c r="B18" s="757" t="s">
        <v>716</v>
      </c>
      <c r="C18" s="1070">
        <v>162507313.02814624</v>
      </c>
      <c r="D18" s="915"/>
      <c r="E18" s="1070">
        <v>27018438.584765229</v>
      </c>
      <c r="F18" s="915"/>
      <c r="G18" s="1070"/>
      <c r="H18" s="1076"/>
      <c r="I18" s="1077"/>
    </row>
    <row r="19" spans="1:12">
      <c r="A19" s="751">
        <f t="shared" si="0"/>
        <v>10</v>
      </c>
      <c r="B19" s="757" t="s">
        <v>582</v>
      </c>
      <c r="C19" s="1070">
        <v>162706059.86279616</v>
      </c>
      <c r="D19" s="915"/>
      <c r="E19" s="1070">
        <v>26945673.805321101</v>
      </c>
      <c r="F19" s="915"/>
      <c r="G19" s="1070"/>
      <c r="H19" s="1076"/>
      <c r="I19" s="1077"/>
    </row>
    <row r="20" spans="1:12">
      <c r="A20" s="751">
        <f t="shared" si="0"/>
        <v>11</v>
      </c>
      <c r="B20" s="757" t="s">
        <v>583</v>
      </c>
      <c r="C20" s="1070">
        <v>162897403.00891054</v>
      </c>
      <c r="D20" s="915"/>
      <c r="E20" s="1070">
        <v>26945984.864277571</v>
      </c>
      <c r="F20" s="915"/>
      <c r="G20" s="1070"/>
      <c r="H20" s="1076"/>
      <c r="I20" s="1077"/>
    </row>
    <row r="21" spans="1:12">
      <c r="A21" s="751">
        <f t="shared" si="0"/>
        <v>12</v>
      </c>
      <c r="B21" s="757" t="s">
        <v>584</v>
      </c>
      <c r="C21" s="1070">
        <v>163092930.96032009</v>
      </c>
      <c r="D21" s="915"/>
      <c r="E21" s="1070">
        <v>26946300.936621904</v>
      </c>
      <c r="F21" s="915"/>
      <c r="G21" s="1070"/>
      <c r="H21" s="1076"/>
      <c r="I21" s="1077"/>
    </row>
    <row r="22" spans="1:12">
      <c r="A22" s="758">
        <f t="shared" si="0"/>
        <v>13</v>
      </c>
      <c r="B22" s="759" t="s">
        <v>717</v>
      </c>
      <c r="C22" s="1071">
        <v>164181636.29710612</v>
      </c>
      <c r="D22" s="756"/>
      <c r="E22" s="1071">
        <v>26857696.071114074</v>
      </c>
      <c r="F22" s="756"/>
      <c r="G22" s="1071"/>
      <c r="H22" s="1076"/>
      <c r="I22" s="1078"/>
    </row>
    <row r="23" spans="1:12" ht="13.5" thickBot="1">
      <c r="A23" s="758">
        <f t="shared" si="0"/>
        <v>14</v>
      </c>
      <c r="B23" s="760" t="s">
        <v>718</v>
      </c>
      <c r="C23" s="761">
        <f>SUM(C10:C22)/13</f>
        <v>162457315.9030177</v>
      </c>
      <c r="D23" s="761">
        <f t="shared" ref="D23:G23" si="1">SUM(D10:D22)/13</f>
        <v>0</v>
      </c>
      <c r="E23" s="761">
        <f t="shared" si="1"/>
        <v>27031412.172126953</v>
      </c>
      <c r="F23" s="761">
        <f t="shared" si="1"/>
        <v>0</v>
      </c>
      <c r="G23" s="761">
        <f t="shared" si="1"/>
        <v>0</v>
      </c>
      <c r="H23" s="1079"/>
      <c r="I23" s="1080"/>
    </row>
    <row r="24" spans="1:12" ht="13.5" thickTop="1">
      <c r="A24" s="47"/>
      <c r="B24" s="763"/>
      <c r="C24" s="764"/>
      <c r="D24" s="765"/>
      <c r="E24" s="765"/>
      <c r="F24" s="765"/>
      <c r="G24" s="764"/>
      <c r="H24" s="764"/>
      <c r="I24" s="764"/>
    </row>
    <row r="25" spans="1:12" ht="12.75" customHeight="1">
      <c r="A25" s="47"/>
      <c r="B25" s="744"/>
      <c r="C25" s="1147" t="s">
        <v>719</v>
      </c>
      <c r="D25" s="1148"/>
      <c r="E25" s="1148"/>
      <c r="F25" s="1148"/>
      <c r="G25" s="1148"/>
      <c r="H25" s="1148"/>
      <c r="I25" s="1149"/>
      <c r="J25"/>
      <c r="K25"/>
    </row>
    <row r="26" spans="1:12" s="522" customFormat="1" ht="25.5">
      <c r="A26" s="748" t="s">
        <v>705</v>
      </c>
      <c r="B26" s="749" t="s">
        <v>706</v>
      </c>
      <c r="C26" s="750" t="s">
        <v>415</v>
      </c>
      <c r="D26" s="750" t="s">
        <v>707</v>
      </c>
      <c r="E26" s="750" t="s">
        <v>136</v>
      </c>
      <c r="F26" s="750" t="s">
        <v>708</v>
      </c>
      <c r="G26" s="1086" t="s">
        <v>709</v>
      </c>
      <c r="H26" s="1096"/>
      <c r="I26" s="1097"/>
      <c r="J26"/>
      <c r="K26"/>
      <c r="L26" s="3"/>
    </row>
    <row r="27" spans="1:12" s="753" customFormat="1">
      <c r="A27" s="751"/>
      <c r="B27" s="752" t="s">
        <v>710</v>
      </c>
      <c r="C27" s="1092" t="s">
        <v>725</v>
      </c>
      <c r="D27" s="1092" t="s">
        <v>726</v>
      </c>
      <c r="E27" s="1092" t="s">
        <v>711</v>
      </c>
      <c r="F27" s="1092" t="s">
        <v>712</v>
      </c>
      <c r="G27" s="1100" t="s">
        <v>745</v>
      </c>
      <c r="H27" s="1092"/>
      <c r="I27" s="1093"/>
      <c r="J27"/>
      <c r="K27"/>
      <c r="L27" s="3"/>
    </row>
    <row r="28" spans="1:12" s="753" customFormat="1" ht="44.25" customHeight="1">
      <c r="A28" s="751"/>
      <c r="B28" s="752" t="s">
        <v>713</v>
      </c>
      <c r="C28" s="754" t="s">
        <v>180</v>
      </c>
      <c r="D28" s="754" t="str">
        <f>"Company Records (Included in total in Column "&amp;C27&amp;")"</f>
        <v>Company Records (Included in total in Column (b))</v>
      </c>
      <c r="E28" s="754" t="s">
        <v>8</v>
      </c>
      <c r="F28" s="754" t="str">
        <f>"Company Records (Included in total in Column "&amp;E27&amp;")"</f>
        <v>Company Records (Included in total in Column (d))</v>
      </c>
      <c r="G28" s="754" t="s">
        <v>302</v>
      </c>
      <c r="H28" s="1098"/>
      <c r="I28" s="1099"/>
      <c r="J28"/>
      <c r="K28"/>
      <c r="L28" s="3"/>
    </row>
    <row r="29" spans="1:12">
      <c r="A29" s="751">
        <f>+A23+1</f>
        <v>15</v>
      </c>
      <c r="B29" s="755" t="s">
        <v>714</v>
      </c>
      <c r="C29" s="1069">
        <v>34673796.782937795</v>
      </c>
      <c r="D29" s="756"/>
      <c r="E29" s="1069">
        <v>5345653.5063829971</v>
      </c>
      <c r="F29" s="756"/>
      <c r="G29" s="1069"/>
      <c r="H29" s="1076"/>
      <c r="I29" s="1081"/>
      <c r="J29"/>
      <c r="K29"/>
    </row>
    <row r="30" spans="1:12">
      <c r="A30" s="751">
        <f>+A29+1</f>
        <v>16</v>
      </c>
      <c r="B30" s="755" t="s">
        <v>574</v>
      </c>
      <c r="C30" s="1070">
        <v>34985985.050844207</v>
      </c>
      <c r="D30" s="915"/>
      <c r="E30" s="1070">
        <v>5448737.8891558442</v>
      </c>
      <c r="F30" s="915"/>
      <c r="G30" s="1070"/>
      <c r="H30" s="1076"/>
      <c r="I30" s="1077"/>
      <c r="J30"/>
      <c r="K30"/>
    </row>
    <row r="31" spans="1:12">
      <c r="A31" s="751">
        <f t="shared" ref="A31:A42" si="2">+A30+1</f>
        <v>17</v>
      </c>
      <c r="B31" s="757" t="s">
        <v>575</v>
      </c>
      <c r="C31" s="1070">
        <v>35299563.799689263</v>
      </c>
      <c r="D31" s="915"/>
      <c r="E31" s="1070">
        <v>5551833.2076436197</v>
      </c>
      <c r="F31" s="915"/>
      <c r="G31" s="1070"/>
      <c r="H31" s="1076"/>
      <c r="I31" s="1077"/>
      <c r="J31"/>
      <c r="K31"/>
    </row>
    <row r="32" spans="1:12">
      <c r="A32" s="751">
        <f t="shared" si="2"/>
        <v>18</v>
      </c>
      <c r="B32" s="757" t="s">
        <v>715</v>
      </c>
      <c r="C32" s="1070">
        <v>35601193.692212909</v>
      </c>
      <c r="D32" s="915"/>
      <c r="E32" s="1070">
        <v>5583245.8424767964</v>
      </c>
      <c r="F32" s="915"/>
      <c r="G32" s="1070"/>
      <c r="H32" s="1076"/>
      <c r="I32" s="1077"/>
      <c r="J32"/>
      <c r="K32"/>
    </row>
    <row r="33" spans="1:11">
      <c r="A33" s="751">
        <f t="shared" si="2"/>
        <v>19</v>
      </c>
      <c r="B33" s="757" t="s">
        <v>577</v>
      </c>
      <c r="C33" s="1070">
        <v>35915915.529812247</v>
      </c>
      <c r="D33" s="915"/>
      <c r="E33" s="1070">
        <v>5685291.3541103769</v>
      </c>
      <c r="F33" s="915"/>
      <c r="G33" s="1070"/>
      <c r="H33" s="1076"/>
      <c r="I33" s="1077"/>
      <c r="J33"/>
      <c r="K33"/>
    </row>
    <row r="34" spans="1:11">
      <c r="A34" s="751">
        <f t="shared" si="2"/>
        <v>20</v>
      </c>
      <c r="B34" s="757" t="s">
        <v>578</v>
      </c>
      <c r="C34" s="1070">
        <v>36230806.622460775</v>
      </c>
      <c r="D34" s="915"/>
      <c r="E34" s="1070">
        <v>5787338.0987238707</v>
      </c>
      <c r="F34" s="915"/>
      <c r="G34" s="1070"/>
      <c r="H34" s="1076"/>
      <c r="I34" s="1077"/>
      <c r="J34"/>
      <c r="K34"/>
    </row>
    <row r="35" spans="1:11">
      <c r="A35" s="751">
        <f t="shared" si="2"/>
        <v>21</v>
      </c>
      <c r="B35" s="757" t="s">
        <v>579</v>
      </c>
      <c r="C35" s="1070">
        <v>36535273.04299666</v>
      </c>
      <c r="D35" s="915"/>
      <c r="E35" s="1070">
        <v>5831542.5437620757</v>
      </c>
      <c r="F35" s="915"/>
      <c r="G35" s="1070"/>
      <c r="H35" s="1076"/>
      <c r="I35" s="1077"/>
      <c r="J35"/>
      <c r="K35"/>
    </row>
    <row r="36" spans="1:11">
      <c r="A36" s="751">
        <f t="shared" si="2"/>
        <v>22</v>
      </c>
      <c r="B36" s="757" t="s">
        <v>580</v>
      </c>
      <c r="C36" s="1070">
        <v>36850327.714914963</v>
      </c>
      <c r="D36" s="915"/>
      <c r="E36" s="1070">
        <v>5932737.0047786087</v>
      </c>
      <c r="F36" s="915"/>
      <c r="G36" s="1070"/>
      <c r="H36" s="1076"/>
      <c r="I36" s="1077"/>
      <c r="J36"/>
      <c r="K36"/>
    </row>
    <row r="37" spans="1:11">
      <c r="A37" s="751">
        <f t="shared" si="2"/>
        <v>23</v>
      </c>
      <c r="B37" s="757" t="s">
        <v>716</v>
      </c>
      <c r="C37" s="1070">
        <v>37165791.147562698</v>
      </c>
      <c r="D37" s="915"/>
      <c r="E37" s="1070">
        <v>6033932.8849997725</v>
      </c>
      <c r="F37" s="915"/>
      <c r="G37" s="1070"/>
      <c r="H37" s="1076"/>
      <c r="I37" s="1077"/>
      <c r="J37"/>
      <c r="K37"/>
    </row>
    <row r="38" spans="1:11">
      <c r="A38" s="751">
        <f t="shared" si="2"/>
        <v>24</v>
      </c>
      <c r="B38" s="757" t="s">
        <v>582</v>
      </c>
      <c r="C38" s="1070">
        <v>37468340.505658731</v>
      </c>
      <c r="D38" s="915"/>
      <c r="E38" s="1070">
        <v>6062052.0135475621</v>
      </c>
      <c r="F38" s="915"/>
      <c r="G38" s="1070"/>
      <c r="H38" s="1076"/>
      <c r="I38" s="1077"/>
      <c r="J38"/>
      <c r="K38"/>
    </row>
    <row r="39" spans="1:11">
      <c r="A39" s="751">
        <f t="shared" si="2"/>
        <v>25</v>
      </c>
      <c r="B39" s="757" t="s">
        <v>583</v>
      </c>
      <c r="C39" s="1070">
        <v>37784568.615033552</v>
      </c>
      <c r="D39" s="915"/>
      <c r="E39" s="1070">
        <v>6162170.7355594337</v>
      </c>
      <c r="F39" s="915"/>
      <c r="G39" s="1070"/>
      <c r="H39" s="1076"/>
      <c r="I39" s="1077"/>
      <c r="J39"/>
      <c r="K39"/>
    </row>
    <row r="40" spans="1:11">
      <c r="A40" s="751">
        <f t="shared" si="2"/>
        <v>26</v>
      </c>
      <c r="B40" s="757" t="s">
        <v>584</v>
      </c>
      <c r="C40" s="1070">
        <v>38101276.158514157</v>
      </c>
      <c r="D40" s="915"/>
      <c r="E40" s="1070">
        <v>6262290.9247327168</v>
      </c>
      <c r="F40" s="915"/>
      <c r="G40" s="1070"/>
      <c r="H40" s="1076"/>
      <c r="I40" s="1077"/>
      <c r="J40"/>
      <c r="K40"/>
    </row>
    <row r="41" spans="1:11">
      <c r="A41" s="758">
        <f t="shared" si="2"/>
        <v>27</v>
      </c>
      <c r="B41" s="759" t="s">
        <v>717</v>
      </c>
      <c r="C41" s="1071">
        <v>38402183.506706119</v>
      </c>
      <c r="D41" s="756"/>
      <c r="E41" s="1071">
        <v>6273493.8694379842</v>
      </c>
      <c r="F41" s="756"/>
      <c r="G41" s="1071"/>
      <c r="H41" s="1076"/>
      <c r="I41" s="1077"/>
      <c r="J41"/>
      <c r="K41"/>
    </row>
    <row r="42" spans="1:11" ht="13.5" thickBot="1">
      <c r="A42" s="766">
        <f t="shared" si="2"/>
        <v>28</v>
      </c>
      <c r="B42" s="767" t="s">
        <v>718</v>
      </c>
      <c r="C42" s="761">
        <f t="shared" ref="C42:G42" si="3">SUM(C29:C41)/13</f>
        <v>36539617.089949548</v>
      </c>
      <c r="D42" s="761">
        <f t="shared" si="3"/>
        <v>0</v>
      </c>
      <c r="E42" s="761">
        <f t="shared" si="3"/>
        <v>5843101.5288701272</v>
      </c>
      <c r="F42" s="761">
        <f t="shared" si="3"/>
        <v>0</v>
      </c>
      <c r="G42" s="761">
        <f t="shared" si="3"/>
        <v>0</v>
      </c>
      <c r="H42" s="1079"/>
      <c r="I42" s="1080"/>
      <c r="J42"/>
      <c r="K42"/>
    </row>
    <row r="43" spans="1:11" ht="13.5" thickTop="1">
      <c r="A43" s="47"/>
      <c r="B43" s="763"/>
      <c r="C43" s="764"/>
      <c r="D43" s="765"/>
      <c r="E43" s="765"/>
      <c r="F43" s="765"/>
      <c r="G43" s="764"/>
      <c r="H43"/>
      <c r="I43"/>
      <c r="J43"/>
      <c r="K43"/>
    </row>
    <row r="44" spans="1:11">
      <c r="A44" s="47"/>
      <c r="B44" s="763"/>
      <c r="C44" s="764"/>
      <c r="D44" s="765"/>
      <c r="E44" s="765"/>
      <c r="F44" s="765"/>
      <c r="G44" s="764"/>
      <c r="H44" s="764"/>
      <c r="I44" s="764"/>
    </row>
    <row r="45" spans="1:11">
      <c r="A45" s="768"/>
      <c r="B45" s="769"/>
      <c r="C45" s="770"/>
      <c r="D45" s="771"/>
      <c r="E45" s="771"/>
      <c r="F45" s="771"/>
      <c r="G45" s="1088"/>
      <c r="H45" s="1089"/>
    </row>
    <row r="46" spans="1:11" ht="72" customHeight="1">
      <c r="A46" s="772" t="s">
        <v>705</v>
      </c>
      <c r="B46" s="746" t="s">
        <v>706</v>
      </c>
      <c r="C46" s="773" t="s">
        <v>721</v>
      </c>
      <c r="D46" s="750" t="s">
        <v>722</v>
      </c>
      <c r="E46" s="750" t="s">
        <v>723</v>
      </c>
      <c r="F46" s="750" t="s">
        <v>724</v>
      </c>
      <c r="G46" s="1090"/>
      <c r="H46" s="1091"/>
    </row>
    <row r="47" spans="1:11" s="753" customFormat="1">
      <c r="A47" s="751"/>
      <c r="B47" s="746" t="s">
        <v>710</v>
      </c>
      <c r="C47" s="774" t="s">
        <v>725</v>
      </c>
      <c r="D47" s="746" t="s">
        <v>726</v>
      </c>
      <c r="E47" s="746" t="s">
        <v>711</v>
      </c>
      <c r="F47" s="746" t="s">
        <v>712</v>
      </c>
      <c r="G47" s="1092"/>
      <c r="H47" s="1093"/>
    </row>
    <row r="48" spans="1:11" s="753" customFormat="1" ht="51">
      <c r="A48" s="751"/>
      <c r="B48" s="746" t="s">
        <v>713</v>
      </c>
      <c r="C48" s="775" t="str">
        <f>"Company Records (included in total in column "&amp;C8&amp;" of gross plant above)"</f>
        <v>Company Records (included in total in column (b) of gross plant above)</v>
      </c>
      <c r="D48" s="775" t="str">
        <f>"Company Records (included in total in column "&amp;C27&amp;" of accumulated depreciation above)"</f>
        <v>Company Records (included in total in column (b) of accumulated depreciation above)</v>
      </c>
      <c r="E48" s="776" t="s">
        <v>720</v>
      </c>
      <c r="F48" s="776" t="s">
        <v>720</v>
      </c>
      <c r="G48" s="1094"/>
      <c r="H48" s="1095"/>
    </row>
    <row r="49" spans="1:9">
      <c r="A49" s="751">
        <f>+A42+1</f>
        <v>29</v>
      </c>
      <c r="B49" s="777" t="s">
        <v>714</v>
      </c>
      <c r="C49" s="778">
        <v>0</v>
      </c>
      <c r="D49" s="756">
        <v>0</v>
      </c>
      <c r="E49" s="756">
        <v>0</v>
      </c>
      <c r="F49" s="1087">
        <v>0</v>
      </c>
      <c r="G49" s="1082"/>
      <c r="H49" s="1083"/>
    </row>
    <row r="50" spans="1:9">
      <c r="A50" s="751">
        <f>+A49+1</f>
        <v>30</v>
      </c>
      <c r="B50" s="777" t="s">
        <v>574</v>
      </c>
      <c r="C50" s="916">
        <v>0</v>
      </c>
      <c r="D50" s="915">
        <v>0</v>
      </c>
      <c r="E50" s="915">
        <v>0</v>
      </c>
      <c r="F50" s="1087">
        <v>0</v>
      </c>
      <c r="G50" s="1082"/>
      <c r="H50" s="1084"/>
    </row>
    <row r="51" spans="1:9">
      <c r="A51" s="751">
        <f t="shared" ref="A51:A62" si="4">+A50+1</f>
        <v>31</v>
      </c>
      <c r="B51" s="763" t="s">
        <v>575</v>
      </c>
      <c r="C51" s="916">
        <v>0</v>
      </c>
      <c r="D51" s="915">
        <v>0</v>
      </c>
      <c r="E51" s="915">
        <v>0</v>
      </c>
      <c r="F51" s="1087">
        <v>0</v>
      </c>
      <c r="G51" s="1082"/>
      <c r="H51" s="1084"/>
    </row>
    <row r="52" spans="1:9">
      <c r="A52" s="751">
        <f t="shared" si="4"/>
        <v>32</v>
      </c>
      <c r="B52" s="763" t="s">
        <v>715</v>
      </c>
      <c r="C52" s="916">
        <v>0</v>
      </c>
      <c r="D52" s="915">
        <v>0</v>
      </c>
      <c r="E52" s="915">
        <v>0</v>
      </c>
      <c r="F52" s="1087">
        <v>0</v>
      </c>
      <c r="G52" s="1082"/>
      <c r="H52" s="1084"/>
    </row>
    <row r="53" spans="1:9">
      <c r="A53" s="751">
        <f t="shared" si="4"/>
        <v>33</v>
      </c>
      <c r="B53" s="763" t="s">
        <v>577</v>
      </c>
      <c r="C53" s="916">
        <v>0</v>
      </c>
      <c r="D53" s="915">
        <v>0</v>
      </c>
      <c r="E53" s="915">
        <v>0</v>
      </c>
      <c r="F53" s="1087">
        <v>0</v>
      </c>
      <c r="G53" s="1082"/>
      <c r="H53" s="1084"/>
    </row>
    <row r="54" spans="1:9">
      <c r="A54" s="751">
        <f t="shared" si="4"/>
        <v>34</v>
      </c>
      <c r="B54" s="763" t="s">
        <v>578</v>
      </c>
      <c r="C54" s="916">
        <v>0</v>
      </c>
      <c r="D54" s="915">
        <v>0</v>
      </c>
      <c r="E54" s="915">
        <v>0</v>
      </c>
      <c r="F54" s="1087">
        <v>0</v>
      </c>
      <c r="G54" s="1082"/>
      <c r="H54" s="1084"/>
    </row>
    <row r="55" spans="1:9">
      <c r="A55" s="751">
        <f t="shared" si="4"/>
        <v>35</v>
      </c>
      <c r="B55" s="763" t="s">
        <v>579</v>
      </c>
      <c r="C55" s="916">
        <v>0</v>
      </c>
      <c r="D55" s="915">
        <v>0</v>
      </c>
      <c r="E55" s="915">
        <v>0</v>
      </c>
      <c r="F55" s="1087">
        <v>0</v>
      </c>
      <c r="G55" s="1082"/>
      <c r="H55" s="1084"/>
    </row>
    <row r="56" spans="1:9">
      <c r="A56" s="751">
        <f t="shared" si="4"/>
        <v>36</v>
      </c>
      <c r="B56" s="763" t="s">
        <v>580</v>
      </c>
      <c r="C56" s="916">
        <v>0</v>
      </c>
      <c r="D56" s="915">
        <v>0</v>
      </c>
      <c r="E56" s="915">
        <v>0</v>
      </c>
      <c r="F56" s="1087">
        <v>0</v>
      </c>
      <c r="G56" s="1082"/>
      <c r="H56" s="1084"/>
    </row>
    <row r="57" spans="1:9">
      <c r="A57" s="751">
        <f t="shared" si="4"/>
        <v>37</v>
      </c>
      <c r="B57" s="763" t="s">
        <v>716</v>
      </c>
      <c r="C57" s="916">
        <v>0</v>
      </c>
      <c r="D57" s="915">
        <v>0</v>
      </c>
      <c r="E57" s="915">
        <v>0</v>
      </c>
      <c r="F57" s="1087">
        <v>0</v>
      </c>
      <c r="G57" s="1082"/>
      <c r="H57" s="1084"/>
    </row>
    <row r="58" spans="1:9">
      <c r="A58" s="751">
        <f t="shared" si="4"/>
        <v>38</v>
      </c>
      <c r="B58" s="763" t="s">
        <v>582</v>
      </c>
      <c r="C58" s="916">
        <v>0</v>
      </c>
      <c r="D58" s="915">
        <v>0</v>
      </c>
      <c r="E58" s="915">
        <v>0</v>
      </c>
      <c r="F58" s="1087">
        <v>0</v>
      </c>
      <c r="G58" s="1082"/>
      <c r="H58" s="1084"/>
    </row>
    <row r="59" spans="1:9">
      <c r="A59" s="751">
        <f t="shared" si="4"/>
        <v>39</v>
      </c>
      <c r="B59" s="763" t="s">
        <v>583</v>
      </c>
      <c r="C59" s="916">
        <v>0</v>
      </c>
      <c r="D59" s="915">
        <v>0</v>
      </c>
      <c r="E59" s="915">
        <v>0</v>
      </c>
      <c r="F59" s="1087">
        <v>0</v>
      </c>
      <c r="G59" s="1082"/>
      <c r="H59" s="1084"/>
    </row>
    <row r="60" spans="1:9">
      <c r="A60" s="751">
        <f t="shared" si="4"/>
        <v>40</v>
      </c>
      <c r="B60" s="763" t="s">
        <v>584</v>
      </c>
      <c r="C60" s="916">
        <v>0</v>
      </c>
      <c r="D60" s="915">
        <v>0</v>
      </c>
      <c r="E60" s="915">
        <v>0</v>
      </c>
      <c r="F60" s="1087">
        <v>0</v>
      </c>
      <c r="G60" s="1082"/>
      <c r="H60" s="1084"/>
    </row>
    <row r="61" spans="1:9">
      <c r="A61" s="758">
        <f t="shared" si="4"/>
        <v>41</v>
      </c>
      <c r="B61" s="779" t="s">
        <v>717</v>
      </c>
      <c r="C61" s="780">
        <v>0</v>
      </c>
      <c r="D61" s="756">
        <v>0</v>
      </c>
      <c r="E61" s="756">
        <v>0</v>
      </c>
      <c r="F61" s="1087">
        <v>0</v>
      </c>
      <c r="G61" s="1082"/>
      <c r="H61" s="1085"/>
    </row>
    <row r="62" spans="1:9" ht="13.5" thickBot="1">
      <c r="A62" s="781">
        <f t="shared" si="4"/>
        <v>42</v>
      </c>
      <c r="B62" s="767" t="s">
        <v>718</v>
      </c>
      <c r="C62" s="761">
        <f>SUM(C49:C61)/13</f>
        <v>0</v>
      </c>
      <c r="D62" s="761">
        <f>SUM(D49:D61)/13</f>
        <v>0</v>
      </c>
      <c r="E62" s="761">
        <f>SUM(E49:E61)/13</f>
        <v>0</v>
      </c>
      <c r="F62" s="761">
        <f>SUM(F49:F61)/13</f>
        <v>0</v>
      </c>
      <c r="G62" s="1079"/>
      <c r="H62" s="1080"/>
    </row>
    <row r="63" spans="1:9" ht="13.5" thickTop="1">
      <c r="A63" s="47"/>
      <c r="B63" s="763"/>
      <c r="I63" s="765"/>
    </row>
    <row r="64" spans="1:9">
      <c r="A64" s="47">
        <v>43</v>
      </c>
      <c r="B64" s="1140" t="s">
        <v>964</v>
      </c>
      <c r="C64" s="504">
        <f>+C42-D62-F62</f>
        <v>36539617.089949548</v>
      </c>
      <c r="I64" s="765"/>
    </row>
    <row r="65" spans="1:6" customFormat="1">
      <c r="B65" s="1140"/>
    </row>
    <row r="66" spans="1:6" customFormat="1"/>
    <row r="67" spans="1:6" customFormat="1" ht="25.5">
      <c r="A67" s="783" t="s">
        <v>330</v>
      </c>
      <c r="B67" s="296"/>
      <c r="C67" s="784" t="s">
        <v>328</v>
      </c>
      <c r="D67" s="785" t="str">
        <f>"Balance @ December 31, "&amp;TCOS!L4&amp;""</f>
        <v>Balance @ December 31, 2026</v>
      </c>
      <c r="E67" s="786" t="str">
        <f>"Balance @ December 31, "&amp;TCOS!L4-1&amp;""</f>
        <v>Balance @ December 31, 2025</v>
      </c>
      <c r="F67" s="786" t="str">
        <f>"Average Balance for "&amp;TCOS!L4&amp;""</f>
        <v>Average Balance for 2026</v>
      </c>
    </row>
    <row r="68" spans="1:6" customFormat="1">
      <c r="A68" s="787"/>
      <c r="B68" s="746" t="s">
        <v>710</v>
      </c>
      <c r="C68" s="746" t="s">
        <v>725</v>
      </c>
      <c r="D68" s="746" t="s">
        <v>726</v>
      </c>
      <c r="E68" s="746" t="s">
        <v>711</v>
      </c>
      <c r="F68" s="746" t="s">
        <v>712</v>
      </c>
    </row>
    <row r="69" spans="1:6" customFormat="1">
      <c r="A69" s="296">
        <f>+A64+1</f>
        <v>44</v>
      </c>
      <c r="B69" s="787" t="s">
        <v>330</v>
      </c>
      <c r="C69" s="300" t="s">
        <v>177</v>
      </c>
      <c r="D69" s="305">
        <v>0</v>
      </c>
      <c r="E69" s="305">
        <v>0</v>
      </c>
      <c r="F69" s="788">
        <f>IF(E69="",0,AVERAGE(D69:E69))</f>
        <v>0</v>
      </c>
    </row>
    <row r="70" spans="1:6" customFormat="1">
      <c r="A70" s="299"/>
      <c r="B70" s="295"/>
      <c r="C70" s="295"/>
      <c r="F70" s="789"/>
    </row>
    <row r="71" spans="1:6" customFormat="1">
      <c r="A71" s="296">
        <f>+A69+1</f>
        <v>45</v>
      </c>
      <c r="B71" s="787" t="s">
        <v>776</v>
      </c>
      <c r="C71" s="790" t="s">
        <v>334</v>
      </c>
      <c r="D71" s="305">
        <v>0</v>
      </c>
      <c r="E71" s="305">
        <v>0</v>
      </c>
      <c r="F71" s="788">
        <f>IF(E71="",0,AVERAGE(D71:E71))</f>
        <v>0</v>
      </c>
    </row>
    <row r="72" spans="1:6" customFormat="1">
      <c r="A72" s="3"/>
      <c r="B72" s="3"/>
      <c r="C72" s="3"/>
      <c r="D72" s="3"/>
    </row>
    <row r="73" spans="1:6" customFormat="1">
      <c r="A73" s="787" t="s">
        <v>21</v>
      </c>
      <c r="B73" s="3"/>
      <c r="C73" s="3"/>
      <c r="D73" s="3"/>
    </row>
    <row r="74" spans="1:6" customFormat="1">
      <c r="A74" s="295"/>
      <c r="B74" s="295" t="s">
        <v>163</v>
      </c>
      <c r="C74" s="295"/>
      <c r="D74" s="295"/>
      <c r="E74" s="295"/>
      <c r="F74" s="295"/>
    </row>
    <row r="75" spans="1:6" customFormat="1">
      <c r="A75" s="296">
        <f>+A71+1</f>
        <v>46</v>
      </c>
      <c r="B75" s="791"/>
      <c r="C75" s="791"/>
      <c r="D75" s="305"/>
      <c r="E75" s="305"/>
      <c r="F75" s="788">
        <f>IF(E75="",0,AVERAGE(D75:E75))</f>
        <v>0</v>
      </c>
    </row>
    <row r="76" spans="1:6" customFormat="1">
      <c r="A76" s="296">
        <f>+A75+1</f>
        <v>47</v>
      </c>
      <c r="B76" s="791"/>
      <c r="C76" s="791"/>
      <c r="D76" s="305"/>
      <c r="E76" s="305"/>
      <c r="F76" s="788">
        <f>IF(E76="",0,AVERAGE(D76:E76))</f>
        <v>0</v>
      </c>
    </row>
    <row r="77" spans="1:6" customFormat="1">
      <c r="A77" s="296">
        <f>+A76+1</f>
        <v>48</v>
      </c>
      <c r="B77" s="791"/>
      <c r="C77" s="791"/>
      <c r="D77" s="305"/>
      <c r="E77" s="305"/>
      <c r="F77" s="788">
        <f>IF(E77="",0,AVERAGE(D77:E77))</f>
        <v>0</v>
      </c>
    </row>
    <row r="78" spans="1:6" customFormat="1">
      <c r="A78" s="296">
        <f>+A77+1</f>
        <v>49</v>
      </c>
      <c r="B78" s="791"/>
      <c r="C78" s="791"/>
      <c r="D78" s="305"/>
      <c r="E78" s="305"/>
      <c r="F78" s="788">
        <f>IF(E78="",0,AVERAGE(D78:E78))</f>
        <v>0</v>
      </c>
    </row>
    <row r="79" spans="1:6" customFormat="1">
      <c r="A79" s="296">
        <f>+A78+1</f>
        <v>50</v>
      </c>
      <c r="B79" s="791"/>
      <c r="C79" s="791"/>
      <c r="D79" s="792"/>
      <c r="E79" s="792"/>
      <c r="F79" s="793">
        <f>IF(E79="",0,AVERAGE(D79:E79))</f>
        <v>0</v>
      </c>
    </row>
    <row r="80" spans="1:6" customFormat="1" ht="18" customHeight="1">
      <c r="A80" s="296">
        <f>+A79+1</f>
        <v>51</v>
      </c>
      <c r="B80" s="295" t="s">
        <v>727</v>
      </c>
      <c r="C80" s="295"/>
      <c r="D80" s="794">
        <f>SUM(D75:D79)</f>
        <v>0</v>
      </c>
      <c r="E80" s="794">
        <f>SUM(E75:E79)</f>
        <v>0</v>
      </c>
      <c r="F80" s="794">
        <f>SUM(F75:F79)</f>
        <v>0</v>
      </c>
    </row>
    <row r="81" spans="1:6" customFormat="1" ht="17.25" customHeight="1">
      <c r="A81" s="296"/>
      <c r="B81" s="295"/>
      <c r="C81" s="295"/>
      <c r="D81" s="794"/>
      <c r="E81" s="794"/>
      <c r="F81" s="794"/>
    </row>
    <row r="82" spans="1:6" customFormat="1" ht="18.75" customHeight="1">
      <c r="A82" s="787" t="s">
        <v>728</v>
      </c>
      <c r="B82" s="795"/>
      <c r="C82" s="795"/>
      <c r="D82" s="795"/>
      <c r="E82" s="295"/>
      <c r="F82" s="295"/>
    </row>
    <row r="83" spans="1:6" customFormat="1" ht="31.5" customHeight="1">
      <c r="A83" s="296"/>
      <c r="B83" s="14"/>
      <c r="C83" s="350"/>
      <c r="D83" s="4"/>
      <c r="E83" s="295"/>
      <c r="F83" s="295"/>
    </row>
    <row r="84" spans="1:6" customFormat="1" ht="21.75" customHeight="1">
      <c r="A84" s="296">
        <f>+A80+1</f>
        <v>52</v>
      </c>
      <c r="B84" s="297" t="s">
        <v>465</v>
      </c>
      <c r="C84" s="297" t="s">
        <v>110</v>
      </c>
      <c r="D84" s="3"/>
      <c r="F84" s="297"/>
    </row>
    <row r="85" spans="1:6" customFormat="1" ht="14.25">
      <c r="A85" s="47" t="s">
        <v>729</v>
      </c>
      <c r="B85" s="796"/>
      <c r="C85" s="797"/>
      <c r="D85" s="305"/>
      <c r="E85" s="305"/>
      <c r="F85" s="798">
        <f>IF(E85="",0,AVERAGE(D85:E85))</f>
        <v>0</v>
      </c>
    </row>
    <row r="86" spans="1:6" customFormat="1" ht="14.25">
      <c r="A86" s="47" t="s">
        <v>730</v>
      </c>
      <c r="B86" s="305"/>
      <c r="C86" s="797"/>
      <c r="D86" s="305"/>
      <c r="E86" s="305"/>
      <c r="F86" s="799">
        <f>IF(E86="",0,AVERAGE(D86:E86))</f>
        <v>0</v>
      </c>
    </row>
    <row r="87" spans="1:6" customFormat="1" ht="18" customHeight="1">
      <c r="A87" s="1">
        <f>A84+2</f>
        <v>54</v>
      </c>
      <c r="C87" s="3" t="s">
        <v>418</v>
      </c>
      <c r="D87" s="504">
        <f>SUM(D85:D86)</f>
        <v>0</v>
      </c>
      <c r="E87" s="504">
        <f>SUM(E85:E86)</f>
        <v>0</v>
      </c>
      <c r="F87" s="504">
        <f>SUM(F85:F86)</f>
        <v>0</v>
      </c>
    </row>
    <row r="88" spans="1:6" customFormat="1">
      <c r="A88" s="296"/>
      <c r="B88" s="295"/>
      <c r="C88" s="295"/>
      <c r="D88" s="295"/>
    </row>
    <row r="89" spans="1:6">
      <c r="A89" s="303" t="s">
        <v>731</v>
      </c>
      <c r="B89" s="295"/>
      <c r="C89" s="295"/>
      <c r="D89" s="295"/>
    </row>
    <row r="90" spans="1:6">
      <c r="A90" s="303" t="s">
        <v>732</v>
      </c>
      <c r="B90" s="295"/>
      <c r="C90" s="295"/>
      <c r="D90" s="295"/>
    </row>
  </sheetData>
  <mergeCells count="7">
    <mergeCell ref="B64:B65"/>
    <mergeCell ref="A1:G1"/>
    <mergeCell ref="A2:G2"/>
    <mergeCell ref="A3:G3"/>
    <mergeCell ref="A4:G4"/>
    <mergeCell ref="C6:I6"/>
    <mergeCell ref="C25:I25"/>
  </mergeCells>
  <pageMargins left="0.7" right="0.7" top="0.75" bottom="0.75" header="0.3" footer="0.3"/>
  <pageSetup scale="69" fitToHeight="0" orientation="landscape" cellComments="asDisplayed" r:id="rId1"/>
  <headerFooter>
    <oddHeader>&amp;RPage  &amp;P of &amp;N</oddHeader>
  </headerFooter>
  <rowBreaks count="1" manualBreakCount="1">
    <brk id="43"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U34"/>
  <sheetViews>
    <sheetView view="pageBreakPreview" zoomScale="60" zoomScaleNormal="81" workbookViewId="0">
      <selection activeCell="G129" sqref="G129"/>
    </sheetView>
  </sheetViews>
  <sheetFormatPr defaultRowHeight="12.75"/>
  <cols>
    <col min="2" max="2" width="11.85546875" customWidth="1"/>
    <col min="3" max="3" width="1" customWidth="1"/>
    <col min="8" max="8" width="1.7109375" customWidth="1"/>
    <col min="9" max="9" width="9.85546875" customWidth="1"/>
    <col min="10" max="10" width="1.7109375" customWidth="1"/>
    <col min="11" max="11" width="12.5703125" customWidth="1"/>
    <col min="12" max="12" width="1.7109375" customWidth="1"/>
    <col min="13" max="13" width="13.7109375" customWidth="1"/>
    <col min="14" max="14" width="1.140625" customWidth="1"/>
    <col min="15" max="15" width="14.85546875" customWidth="1"/>
    <col min="16" max="16" width="1.140625" customWidth="1"/>
    <col min="17" max="17" width="12.7109375" customWidth="1"/>
    <col min="18" max="18" width="1.28515625" customWidth="1"/>
    <col min="19" max="19" width="17.5703125" customWidth="1"/>
    <col min="20" max="20" width="1.140625" customWidth="1"/>
    <col min="21" max="21" width="13" customWidth="1"/>
  </cols>
  <sheetData>
    <row r="1" spans="1:21" ht="15.75">
      <c r="A1" s="696" t="s">
        <v>414</v>
      </c>
    </row>
    <row r="2" spans="1:21" ht="15.75">
      <c r="A2" s="696" t="s">
        <v>414</v>
      </c>
    </row>
    <row r="3" spans="1:21" ht="18">
      <c r="A3" s="1185" t="str">
        <f>TCOS!$F$5</f>
        <v>AEPTCo subsidiaries in PJM</v>
      </c>
      <c r="B3" s="1185" t="str">
        <f>TCOS!$F$5</f>
        <v>AEPTCo subsidiaries in PJM</v>
      </c>
      <c r="C3" s="1185" t="str">
        <f>TCOS!$F$5</f>
        <v>AEPTCo subsidiaries in PJM</v>
      </c>
      <c r="D3" s="1185" t="str">
        <f>TCOS!$F$5</f>
        <v>AEPTCo subsidiaries in PJM</v>
      </c>
      <c r="E3" s="1185" t="str">
        <f>TCOS!$F$5</f>
        <v>AEPTCo subsidiaries in PJM</v>
      </c>
      <c r="F3" s="1185" t="str">
        <f>TCOS!$F$5</f>
        <v>AEPTCo subsidiaries in PJM</v>
      </c>
      <c r="G3" s="1185" t="str">
        <f>TCOS!$F$5</f>
        <v>AEPTCo subsidiaries in PJM</v>
      </c>
      <c r="H3" s="1185" t="str">
        <f>TCOS!$F$5</f>
        <v>AEPTCo subsidiaries in PJM</v>
      </c>
      <c r="I3" s="1185" t="str">
        <f>TCOS!$F$5</f>
        <v>AEPTCo subsidiaries in PJM</v>
      </c>
      <c r="J3" s="1185" t="str">
        <f>TCOS!$F$5</f>
        <v>AEPTCo subsidiaries in PJM</v>
      </c>
      <c r="K3" s="1185" t="str">
        <f>TCOS!$F$5</f>
        <v>AEPTCo subsidiaries in PJM</v>
      </c>
      <c r="L3" s="1185" t="str">
        <f>TCOS!$F$5</f>
        <v>AEPTCo subsidiaries in PJM</v>
      </c>
      <c r="M3" s="1185" t="str">
        <f>TCOS!$F$5</f>
        <v>AEPTCo subsidiaries in PJM</v>
      </c>
      <c r="N3" s="1185" t="str">
        <f>TCOS!$F$5</f>
        <v>AEPTCo subsidiaries in PJM</v>
      </c>
      <c r="O3" s="1185" t="str">
        <f>TCOS!$F$5</f>
        <v>AEPTCo subsidiaries in PJM</v>
      </c>
    </row>
    <row r="4" spans="1:21" ht="18">
      <c r="A4" s="1184" t="str">
        <f>"Cost of Service Formula Rate Using Actual/Projected FF1 Balances"</f>
        <v>Cost of Service Formula Rate Using Actual/Projected FF1 Balances</v>
      </c>
      <c r="B4" s="1184"/>
      <c r="C4" s="1184"/>
      <c r="D4" s="1184"/>
      <c r="E4" s="1184"/>
      <c r="F4" s="1184"/>
      <c r="G4" s="1184"/>
      <c r="H4" s="1184"/>
      <c r="I4" s="1184"/>
      <c r="J4" s="1184"/>
      <c r="K4" s="1184"/>
      <c r="L4" s="1184"/>
      <c r="M4" s="1184"/>
      <c r="N4" s="1184"/>
      <c r="O4" s="1184"/>
    </row>
    <row r="5" spans="1:21" ht="18">
      <c r="A5" s="1184" t="s">
        <v>24</v>
      </c>
      <c r="B5" s="1184"/>
      <c r="C5" s="1184"/>
      <c r="D5" s="1184"/>
      <c r="E5" s="1184"/>
      <c r="F5" s="1184"/>
      <c r="G5" s="1184"/>
      <c r="H5" s="1184"/>
      <c r="I5" s="1184"/>
      <c r="J5" s="1184"/>
      <c r="K5" s="1184"/>
      <c r="L5" s="1184"/>
      <c r="M5" s="1184"/>
      <c r="N5" s="1184"/>
      <c r="O5" s="1184"/>
    </row>
    <row r="6" spans="1:21" ht="18">
      <c r="A6" s="1177" t="str">
        <f>+TCOS!F9</f>
        <v>AEP Kentucky Transmission Company</v>
      </c>
      <c r="B6" s="1177"/>
      <c r="C6" s="1177"/>
      <c r="D6" s="1177"/>
      <c r="E6" s="1177"/>
      <c r="F6" s="1177"/>
      <c r="G6" s="1177"/>
      <c r="H6" s="1177"/>
      <c r="I6" s="1177"/>
      <c r="J6" s="1177"/>
      <c r="K6" s="1177"/>
      <c r="L6" s="1177"/>
      <c r="M6" s="1177"/>
      <c r="N6" s="1177"/>
      <c r="O6" s="1177"/>
    </row>
    <row r="7" spans="1:21" ht="12.75" customHeight="1">
      <c r="A7" s="67"/>
      <c r="B7" s="67"/>
      <c r="C7" s="67"/>
      <c r="D7" s="67"/>
      <c r="E7" s="67"/>
      <c r="F7" s="67"/>
      <c r="G7" s="67"/>
      <c r="H7" s="67"/>
      <c r="I7" s="67"/>
      <c r="J7" s="67"/>
      <c r="K7" s="67"/>
      <c r="L7" s="67"/>
    </row>
    <row r="8" spans="1:21" ht="12.75" customHeight="1">
      <c r="A8" s="1212" t="s">
        <v>16</v>
      </c>
      <c r="B8" s="1212"/>
      <c r="C8" s="1212"/>
      <c r="D8" s="1212"/>
      <c r="E8" s="1212"/>
      <c r="F8" s="1212"/>
      <c r="G8" s="1212"/>
      <c r="H8" s="1212"/>
      <c r="I8" s="1212"/>
      <c r="J8" s="1212"/>
      <c r="K8" s="1212"/>
      <c r="L8" s="1212"/>
      <c r="M8" s="1212"/>
      <c r="N8" s="1212"/>
      <c r="O8" s="1212"/>
    </row>
    <row r="9" spans="1:21" ht="12.75" customHeight="1">
      <c r="A9" s="1212"/>
      <c r="B9" s="1212"/>
      <c r="C9" s="1212"/>
      <c r="D9" s="1212"/>
      <c r="E9" s="1212"/>
      <c r="F9" s="1212"/>
      <c r="G9" s="1212"/>
      <c r="H9" s="1212"/>
      <c r="I9" s="1212"/>
      <c r="J9" s="1212"/>
      <c r="K9" s="1212"/>
      <c r="L9" s="1212"/>
      <c r="M9" s="1212"/>
      <c r="N9" s="1212"/>
      <c r="O9" s="1212"/>
    </row>
    <row r="10" spans="1:21">
      <c r="A10" s="1212"/>
      <c r="B10" s="1212"/>
      <c r="C10" s="1212"/>
      <c r="D10" s="1212"/>
      <c r="E10" s="1212"/>
      <c r="F10" s="1212"/>
      <c r="G10" s="1212"/>
      <c r="H10" s="1212"/>
      <c r="I10" s="1212"/>
      <c r="J10" s="1212"/>
      <c r="K10" s="1212"/>
      <c r="L10" s="1212"/>
      <c r="M10" s="1212"/>
      <c r="N10" s="1212"/>
      <c r="O10" s="1212"/>
    </row>
    <row r="11" spans="1:21">
      <c r="A11" s="1212"/>
      <c r="B11" s="1212"/>
      <c r="C11" s="1212"/>
      <c r="D11" s="1212"/>
      <c r="E11" s="1212"/>
      <c r="F11" s="1212"/>
      <c r="G11" s="1212"/>
      <c r="H11" s="1212"/>
      <c r="I11" s="1212"/>
      <c r="J11" s="1212"/>
      <c r="K11" s="1212"/>
      <c r="L11" s="1212"/>
      <c r="M11" s="1212"/>
      <c r="N11" s="1212"/>
      <c r="O11" s="1212"/>
    </row>
    <row r="12" spans="1:21">
      <c r="B12" s="1" t="s">
        <v>460</v>
      </c>
      <c r="C12" s="1"/>
      <c r="D12" s="1138" t="s">
        <v>461</v>
      </c>
      <c r="E12" s="1138"/>
      <c r="F12" s="1138"/>
      <c r="G12" s="1138"/>
      <c r="H12" s="1"/>
      <c r="I12" s="1" t="s">
        <v>331</v>
      </c>
      <c r="J12" s="1"/>
      <c r="K12" s="1" t="s">
        <v>463</v>
      </c>
      <c r="L12" s="1"/>
      <c r="M12" s="1" t="s">
        <v>383</v>
      </c>
      <c r="N12" s="1"/>
      <c r="O12" s="1" t="s">
        <v>384</v>
      </c>
      <c r="P12" s="1"/>
      <c r="Q12" s="1" t="s">
        <v>357</v>
      </c>
      <c r="R12" s="1"/>
      <c r="S12" s="1" t="s">
        <v>390</v>
      </c>
      <c r="U12" s="47" t="s">
        <v>296</v>
      </c>
    </row>
    <row r="13" spans="1:21">
      <c r="I13" s="1210" t="s">
        <v>355</v>
      </c>
      <c r="Q13" s="1209" t="s">
        <v>356</v>
      </c>
      <c r="S13" s="1210" t="s">
        <v>358</v>
      </c>
      <c r="U13" s="111" t="s">
        <v>273</v>
      </c>
    </row>
    <row r="14" spans="1:21">
      <c r="A14" s="70" t="s">
        <v>354</v>
      </c>
      <c r="B14" s="70" t="s">
        <v>350</v>
      </c>
      <c r="C14" s="70"/>
      <c r="D14" s="86" t="s">
        <v>351</v>
      </c>
      <c r="E14" s="70"/>
      <c r="F14" s="70"/>
      <c r="G14" s="70"/>
      <c r="H14" s="70"/>
      <c r="I14" s="1190"/>
      <c r="J14" s="70"/>
      <c r="K14" s="70" t="s">
        <v>352</v>
      </c>
      <c r="L14" s="70"/>
      <c r="M14" s="70" t="s">
        <v>353</v>
      </c>
      <c r="N14" s="70"/>
      <c r="O14" s="70" t="s">
        <v>290</v>
      </c>
      <c r="Q14" s="1209"/>
      <c r="S14" s="1210"/>
      <c r="U14" s="111" t="s">
        <v>110</v>
      </c>
    </row>
    <row r="15" spans="1:21">
      <c r="A15" s="70"/>
      <c r="B15" s="70"/>
      <c r="C15" s="70"/>
      <c r="D15" s="86"/>
      <c r="E15" s="70"/>
      <c r="F15" s="70"/>
      <c r="G15" s="70"/>
      <c r="H15" s="70"/>
      <c r="I15" t="s">
        <v>288</v>
      </c>
      <c r="J15" s="70"/>
      <c r="K15" s="70"/>
      <c r="L15" s="70"/>
      <c r="M15" s="70"/>
      <c r="N15" s="70"/>
      <c r="O15" s="70"/>
      <c r="Q15" s="94"/>
      <c r="S15" s="70" t="s">
        <v>290</v>
      </c>
    </row>
    <row r="16" spans="1:21">
      <c r="I16" t="s">
        <v>289</v>
      </c>
    </row>
    <row r="17" spans="1:21">
      <c r="A17" s="1">
        <v>1</v>
      </c>
      <c r="B17" s="606"/>
      <c r="D17" s="1211"/>
      <c r="E17" s="1211"/>
      <c r="F17" s="1211"/>
      <c r="G17" s="1211"/>
      <c r="I17" s="607"/>
      <c r="K17" s="605"/>
      <c r="L17" s="62"/>
      <c r="M17" s="605"/>
      <c r="O17" s="74">
        <f>+K17-M17</f>
        <v>0</v>
      </c>
      <c r="Q17" s="88">
        <f>IF(I17="G",TCOS!L235,IF(I17="T",1,0))</f>
        <v>0</v>
      </c>
      <c r="S17" s="74">
        <f>ROUND(O17*Q17,0)</f>
        <v>0</v>
      </c>
      <c r="U17" s="608"/>
    </row>
    <row r="18" spans="1:21">
      <c r="A18" s="1"/>
      <c r="D18" s="1211"/>
      <c r="E18" s="1211"/>
      <c r="F18" s="1211"/>
      <c r="G18" s="1211"/>
      <c r="K18" s="62"/>
      <c r="L18" s="62"/>
      <c r="M18" s="62"/>
      <c r="O18" s="62"/>
      <c r="Q18" s="88"/>
      <c r="S18" s="62"/>
    </row>
    <row r="19" spans="1:21">
      <c r="A19" s="1"/>
      <c r="D19" s="1211"/>
      <c r="E19" s="1211"/>
      <c r="F19" s="1211"/>
      <c r="G19" s="1211"/>
      <c r="K19" s="62"/>
      <c r="L19" s="62"/>
      <c r="M19" s="62"/>
      <c r="O19" s="62"/>
      <c r="Q19" s="88"/>
      <c r="S19" s="62"/>
    </row>
    <row r="20" spans="1:21">
      <c r="A20" s="1"/>
      <c r="K20" s="62"/>
      <c r="L20" s="62"/>
      <c r="M20" s="62"/>
      <c r="O20" s="62"/>
      <c r="Q20" s="88"/>
      <c r="S20" s="62"/>
    </row>
    <row r="21" spans="1:21">
      <c r="A21" s="1"/>
      <c r="K21" s="62"/>
      <c r="L21" s="62"/>
      <c r="M21" s="62"/>
      <c r="O21" s="62"/>
      <c r="Q21" s="88"/>
      <c r="S21" s="62"/>
    </row>
    <row r="22" spans="1:21" ht="12" customHeight="1">
      <c r="A22" s="1">
        <f>+A17+1</f>
        <v>2</v>
      </c>
      <c r="B22" s="606"/>
      <c r="D22" s="1211"/>
      <c r="E22" s="1211"/>
      <c r="F22" s="1211"/>
      <c r="G22" s="1211"/>
      <c r="I22" s="607"/>
      <c r="K22" s="605"/>
      <c r="L22" s="62"/>
      <c r="M22" s="605"/>
      <c r="O22" s="74">
        <f>+K22-M22</f>
        <v>0</v>
      </c>
      <c r="Q22" s="88">
        <f>IF(I22="G",TCOS!L235,IF(I22="T",1,0))</f>
        <v>0</v>
      </c>
      <c r="S22" s="74">
        <f>ROUND(O22*Q22,0)</f>
        <v>0</v>
      </c>
      <c r="U22" s="608"/>
    </row>
    <row r="23" spans="1:21">
      <c r="A23" s="1"/>
      <c r="D23" s="1211"/>
      <c r="E23" s="1211"/>
      <c r="F23" s="1211"/>
      <c r="G23" s="1211"/>
      <c r="K23" s="62"/>
      <c r="L23" s="62"/>
      <c r="M23" s="62"/>
      <c r="O23" s="62"/>
      <c r="Q23" s="88"/>
      <c r="S23" s="62"/>
    </row>
    <row r="24" spans="1:21">
      <c r="A24" s="1"/>
      <c r="D24" s="1211"/>
      <c r="E24" s="1211"/>
      <c r="F24" s="1211"/>
      <c r="G24" s="1211"/>
      <c r="K24" s="62"/>
      <c r="L24" s="62"/>
      <c r="M24" s="62"/>
      <c r="O24" s="62"/>
      <c r="Q24" s="88"/>
      <c r="S24" s="62"/>
    </row>
    <row r="25" spans="1:21">
      <c r="A25" s="1"/>
      <c r="I25" s="1"/>
      <c r="K25" s="62"/>
      <c r="L25" s="62"/>
      <c r="M25" s="62"/>
      <c r="O25" s="62"/>
      <c r="Q25" s="88"/>
      <c r="S25" s="62"/>
    </row>
    <row r="26" spans="1:21">
      <c r="A26" s="1"/>
      <c r="I26" s="1"/>
      <c r="K26" s="62"/>
      <c r="L26" s="62"/>
      <c r="M26" s="62"/>
      <c r="O26" s="62"/>
      <c r="Q26" s="88"/>
      <c r="S26" s="62"/>
    </row>
    <row r="27" spans="1:21">
      <c r="A27" s="1">
        <f>+A22+1</f>
        <v>3</v>
      </c>
      <c r="B27" s="606"/>
      <c r="D27" s="1211"/>
      <c r="E27" s="1211"/>
      <c r="F27" s="1211"/>
      <c r="G27" s="1211"/>
      <c r="I27" s="607"/>
      <c r="K27" s="605"/>
      <c r="L27" s="62"/>
      <c r="M27" s="605"/>
      <c r="O27" s="74">
        <f>+K27-M27</f>
        <v>0</v>
      </c>
      <c r="Q27" s="88">
        <f>IF(I27="G",TCOS!L235,IF(I27="T",1,0))</f>
        <v>0</v>
      </c>
      <c r="S27" s="74">
        <f>ROUND(O27*Q27,0)</f>
        <v>0</v>
      </c>
      <c r="U27" s="608"/>
    </row>
    <row r="28" spans="1:21">
      <c r="A28" s="1"/>
      <c r="D28" s="1211"/>
      <c r="E28" s="1211"/>
      <c r="F28" s="1211"/>
      <c r="G28" s="1211"/>
      <c r="K28" s="62"/>
      <c r="L28" s="62"/>
      <c r="M28" s="62"/>
      <c r="O28" s="62"/>
      <c r="Q28" s="88"/>
      <c r="S28" s="62"/>
    </row>
    <row r="29" spans="1:21">
      <c r="A29" s="1"/>
      <c r="D29" s="1211"/>
      <c r="E29" s="1211"/>
      <c r="F29" s="1211"/>
      <c r="G29" s="1211"/>
      <c r="K29" s="62"/>
      <c r="L29" s="62"/>
      <c r="M29" s="62"/>
      <c r="O29" s="62"/>
      <c r="Q29" s="88"/>
    </row>
    <row r="30" spans="1:21">
      <c r="A30" s="1"/>
      <c r="O30" s="62"/>
      <c r="Q30" s="88"/>
    </row>
    <row r="31" spans="1:21">
      <c r="A31" s="1"/>
      <c r="O31" s="62"/>
      <c r="Q31" s="88"/>
    </row>
    <row r="32" spans="1:21">
      <c r="A32" s="1"/>
      <c r="O32" s="62"/>
      <c r="Q32" s="88"/>
    </row>
    <row r="33" spans="1:19" ht="13.5" thickBot="1">
      <c r="A33" s="1">
        <f>+A27+1</f>
        <v>4</v>
      </c>
      <c r="K33" t="str">
        <f>"Net (Gain) or Loss for "&amp;TCOS!O3&amp;""</f>
        <v xml:space="preserve">Net (Gain) or Loss for  </v>
      </c>
      <c r="O33" s="92">
        <f>SUM(O17:O27)</f>
        <v>0</v>
      </c>
      <c r="Q33" s="93"/>
      <c r="S33" s="92">
        <f>SUM(S17:S27)</f>
        <v>0</v>
      </c>
    </row>
    <row r="34" spans="1:19" ht="13.5" thickTop="1">
      <c r="A34" s="1"/>
      <c r="O34" s="62"/>
      <c r="Q34" s="93"/>
    </row>
  </sheetData>
  <mergeCells count="12">
    <mergeCell ref="A3:O3"/>
    <mergeCell ref="A4:O4"/>
    <mergeCell ref="A5:O5"/>
    <mergeCell ref="I13:I14"/>
    <mergeCell ref="D12:G12"/>
    <mergeCell ref="A6:O6"/>
    <mergeCell ref="A8:O11"/>
    <mergeCell ref="Q13:Q14"/>
    <mergeCell ref="S13:S14"/>
    <mergeCell ref="D17:G19"/>
    <mergeCell ref="D22:G24"/>
    <mergeCell ref="D27:G29"/>
  </mergeCells>
  <phoneticPr fontId="88" type="noConversion"/>
  <pageMargins left="0.75" right="0.75" top="1" bottom="1" header="0.75" footer="0.5"/>
  <pageSetup scale="76" orientation="landscape" r:id="rId1"/>
  <headerFooter alignWithMargins="0">
    <oddHeader>&amp;R&amp;"Arial,Bold"Formula Rate 
&amp;A
Page &amp;P of &amp;N</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theme="0" tint="-4.9989318521683403E-2"/>
  </sheetPr>
  <dimension ref="A1:F37"/>
  <sheetViews>
    <sheetView view="pageBreakPreview" zoomScale="90" zoomScaleNormal="80" zoomScaleSheetLayoutView="90" workbookViewId="0">
      <selection activeCell="H21" sqref="H21"/>
    </sheetView>
  </sheetViews>
  <sheetFormatPr defaultColWidth="11.42578125" defaultRowHeight="12.75"/>
  <cols>
    <col min="1" max="1" width="37.85546875" style="889" customWidth="1"/>
    <col min="2" max="2" width="25.42578125" style="889" customWidth="1"/>
    <col min="3" max="3" width="53.42578125" style="889" customWidth="1"/>
    <col min="4" max="4" width="18.42578125" style="889" customWidth="1"/>
    <col min="5" max="5" width="11.42578125" style="889" customWidth="1"/>
    <col min="6" max="6" width="13.7109375" style="889" bestFit="1" customWidth="1"/>
    <col min="7" max="16384" width="11.42578125" style="889"/>
  </cols>
  <sheetData>
    <row r="1" spans="1:6" ht="15.75">
      <c r="A1" s="888" t="s">
        <v>414</v>
      </c>
    </row>
    <row r="2" spans="1:6" ht="15.75">
      <c r="A2" s="888" t="s">
        <v>414</v>
      </c>
    </row>
    <row r="3" spans="1:6" ht="15.75">
      <c r="A3" s="1214" t="str">
        <f>TCOS!F5</f>
        <v>AEPTCo subsidiaries in PJM</v>
      </c>
      <c r="B3" s="1214" t="s">
        <v>329</v>
      </c>
      <c r="C3" s="1214" t="s">
        <v>329</v>
      </c>
      <c r="D3" s="1214" t="s">
        <v>329</v>
      </c>
    </row>
    <row r="4" spans="1:6" ht="15.75">
      <c r="A4" s="1214" t="str">
        <f>"Cost of Service Formula Rate Using Actual/Projected FF1 Balances"</f>
        <v>Cost of Service Formula Rate Using Actual/Projected FF1 Balances</v>
      </c>
      <c r="B4" s="1214"/>
      <c r="C4" s="1214"/>
      <c r="D4" s="1214"/>
    </row>
    <row r="5" spans="1:6" ht="15.75">
      <c r="A5" s="1214" t="s">
        <v>777</v>
      </c>
      <c r="B5" s="1214"/>
      <c r="C5" s="1214"/>
      <c r="D5" s="1214"/>
    </row>
    <row r="6" spans="1:6" ht="15.75">
      <c r="A6" s="1214" t="s">
        <v>778</v>
      </c>
      <c r="B6" s="1214"/>
      <c r="C6" s="1214"/>
      <c r="D6" s="1214"/>
    </row>
    <row r="7" spans="1:6" ht="15.75">
      <c r="A7" s="1215" t="str">
        <f>TCOS!F9</f>
        <v>AEP Kentucky Transmission Company</v>
      </c>
      <c r="B7" s="1215"/>
      <c r="C7" s="1215"/>
      <c r="D7" s="1215"/>
    </row>
    <row r="8" spans="1:6" ht="15.75">
      <c r="A8" s="891"/>
      <c r="B8" s="892"/>
      <c r="C8" s="892"/>
      <c r="D8" s="892"/>
    </row>
    <row r="9" spans="1:6" ht="15.75">
      <c r="A9" s="893"/>
      <c r="B9" s="894"/>
      <c r="C9" s="894"/>
      <c r="D9" s="894"/>
    </row>
    <row r="10" spans="1:6" ht="15.75">
      <c r="A10" s="895"/>
      <c r="B10" s="895"/>
      <c r="C10" s="895"/>
      <c r="D10" s="895"/>
    </row>
    <row r="11" spans="1:6" ht="15.75">
      <c r="A11" s="894" t="s">
        <v>779</v>
      </c>
      <c r="B11" s="894" t="s">
        <v>460</v>
      </c>
      <c r="C11" s="896"/>
      <c r="D11" s="894" t="s">
        <v>461</v>
      </c>
    </row>
    <row r="12" spans="1:6" ht="15.75">
      <c r="A12" s="890">
        <f>1</f>
        <v>1</v>
      </c>
      <c r="B12" s="897" t="s">
        <v>780</v>
      </c>
      <c r="C12" s="896"/>
      <c r="D12" s="890"/>
    </row>
    <row r="13" spans="1:6" ht="15.75">
      <c r="A13" s="890"/>
      <c r="B13" s="897"/>
      <c r="C13" s="896"/>
      <c r="D13" s="890"/>
    </row>
    <row r="14" spans="1:6" ht="15.75">
      <c r="A14" s="890"/>
      <c r="B14" s="896"/>
      <c r="C14" s="896"/>
      <c r="D14" s="896"/>
    </row>
    <row r="15" spans="1:6" ht="15.75">
      <c r="A15" s="890">
        <f>A12+1</f>
        <v>2</v>
      </c>
      <c r="B15" s="898" t="s">
        <v>781</v>
      </c>
      <c r="C15" s="899"/>
      <c r="D15" s="900"/>
    </row>
    <row r="16" spans="1:6" ht="15.75">
      <c r="A16" s="890">
        <f t="shared" ref="A16:A23" si="0">+A15+1</f>
        <v>3</v>
      </c>
      <c r="B16" s="901" t="s">
        <v>782</v>
      </c>
      <c r="C16" s="901"/>
      <c r="D16" s="902">
        <v>-74897000</v>
      </c>
      <c r="F16" s="903"/>
    </row>
    <row r="17" spans="1:6" ht="15.75">
      <c r="A17" s="890">
        <f t="shared" si="0"/>
        <v>4</v>
      </c>
      <c r="B17" s="901" t="s">
        <v>783</v>
      </c>
      <c r="C17" s="901"/>
      <c r="D17" s="904">
        <v>0</v>
      </c>
      <c r="F17" s="903"/>
    </row>
    <row r="18" spans="1:6" ht="15.75">
      <c r="A18" s="890">
        <f t="shared" si="0"/>
        <v>5</v>
      </c>
      <c r="B18" s="901" t="s">
        <v>784</v>
      </c>
      <c r="C18" s="901"/>
      <c r="D18" s="904">
        <f>+D16-D17</f>
        <v>-74897000</v>
      </c>
    </row>
    <row r="19" spans="1:6" ht="15.75">
      <c r="A19" s="890">
        <f t="shared" si="0"/>
        <v>6</v>
      </c>
      <c r="B19" s="901" t="s">
        <v>785</v>
      </c>
      <c r="C19" s="901"/>
      <c r="D19" s="902">
        <v>1652603000</v>
      </c>
    </row>
    <row r="20" spans="1:6" ht="15.75">
      <c r="A20" s="890">
        <f t="shared" si="0"/>
        <v>7</v>
      </c>
      <c r="B20" s="901" t="s">
        <v>786</v>
      </c>
      <c r="C20" s="901"/>
      <c r="D20" s="905">
        <f>+D18/D19</f>
        <v>-4.5320624493601913E-2</v>
      </c>
    </row>
    <row r="21" spans="1:6" ht="15.75">
      <c r="A21" s="890">
        <f t="shared" si="0"/>
        <v>8</v>
      </c>
      <c r="B21" s="901" t="s">
        <v>787</v>
      </c>
      <c r="C21" s="901"/>
      <c r="D21" s="967">
        <v>-4.2999999999999997E-2</v>
      </c>
      <c r="E21" s="906"/>
    </row>
    <row r="22" spans="1:6" ht="15.75">
      <c r="A22" s="890">
        <f t="shared" si="0"/>
        <v>9</v>
      </c>
      <c r="B22" s="901" t="s">
        <v>788</v>
      </c>
      <c r="C22" s="901"/>
      <c r="D22" s="902">
        <v>508000</v>
      </c>
    </row>
    <row r="23" spans="1:6" ht="15.75">
      <c r="A23" s="890">
        <f t="shared" si="0"/>
        <v>10</v>
      </c>
      <c r="B23" s="901" t="str">
        <f>"Allowable TransCo PBOP Expense for current year (Ln "&amp;A21&amp;" * Ln "&amp;A22&amp;")"</f>
        <v>Allowable TransCo PBOP Expense for current year (Ln 8 * Ln 9)</v>
      </c>
      <c r="C23" s="901"/>
      <c r="D23" s="907">
        <f>ROUND(+D21*D22,-3)</f>
        <v>-22000</v>
      </c>
    </row>
    <row r="24" spans="1:6" ht="15.75">
      <c r="A24" s="890"/>
      <c r="B24" s="901"/>
      <c r="C24" s="901"/>
      <c r="D24" s="907"/>
    </row>
    <row r="25" spans="1:6" ht="15.75">
      <c r="A25" s="890"/>
      <c r="B25" s="901"/>
      <c r="C25" s="901"/>
      <c r="D25" s="907"/>
    </row>
    <row r="26" spans="1:6" ht="15.75">
      <c r="A26" s="890">
        <f>+A23+1</f>
        <v>11</v>
      </c>
      <c r="B26" s="908" t="s">
        <v>789</v>
      </c>
      <c r="C26" s="901"/>
      <c r="D26" s="902">
        <v>0</v>
      </c>
    </row>
    <row r="27" spans="1:6" ht="15.75">
      <c r="A27" s="890">
        <f>+A26+1</f>
        <v>12</v>
      </c>
      <c r="B27" s="901" t="s">
        <v>790</v>
      </c>
      <c r="C27" s="901"/>
      <c r="D27" s="902">
        <v>0</v>
      </c>
    </row>
    <row r="28" spans="1:6" ht="15.75">
      <c r="A28" s="890">
        <f>+A27+1</f>
        <v>13</v>
      </c>
      <c r="B28" s="901" t="s">
        <v>791</v>
      </c>
      <c r="C28" s="901"/>
      <c r="D28" s="902">
        <v>0</v>
      </c>
    </row>
    <row r="29" spans="1:6" ht="16.5" thickBot="1">
      <c r="A29" s="909">
        <f>+A28+1</f>
        <v>14</v>
      </c>
      <c r="B29" s="910" t="s">
        <v>792</v>
      </c>
      <c r="C29" s="911"/>
      <c r="D29" s="1029">
        <v>-19000</v>
      </c>
    </row>
    <row r="30" spans="1:6" ht="15.75">
      <c r="A30" s="890">
        <f>+A29+1</f>
        <v>15</v>
      </c>
      <c r="B30" s="896" t="s">
        <v>793</v>
      </c>
      <c r="C30" s="896" t="str">
        <f>"(Sum Lines "&amp;A26&amp;"-"&amp;A29&amp;")"</f>
        <v>(Sum Lines 11-14)</v>
      </c>
      <c r="D30" s="912">
        <f>SUM(D26:D29)</f>
        <v>-19000</v>
      </c>
    </row>
    <row r="31" spans="1:6" ht="15.75">
      <c r="A31" s="890"/>
      <c r="B31" s="896"/>
      <c r="C31" s="896"/>
      <c r="D31" s="912"/>
    </row>
    <row r="32" spans="1:6" ht="15.75">
      <c r="A32" s="890"/>
      <c r="B32" s="896"/>
      <c r="C32" s="896"/>
      <c r="D32" s="912"/>
    </row>
    <row r="33" spans="1:4" ht="15.75">
      <c r="A33" s="890">
        <f>A30+1</f>
        <v>16</v>
      </c>
      <c r="B33" s="896" t="s">
        <v>794</v>
      </c>
      <c r="C33" s="896" t="str">
        <f>"Line "&amp;A23&amp;" less Line "&amp;A30&amp;""</f>
        <v>Line 10 less Line 15</v>
      </c>
      <c r="D33" s="913">
        <f>D23-D30</f>
        <v>-3000</v>
      </c>
    </row>
    <row r="34" spans="1:4" ht="15.75">
      <c r="A34" s="890"/>
      <c r="B34" s="896"/>
      <c r="C34" s="896"/>
      <c r="D34" s="913"/>
    </row>
    <row r="35" spans="1:4" ht="15.75">
      <c r="A35" s="901" t="s">
        <v>795</v>
      </c>
    </row>
    <row r="37" spans="1:4" ht="387.75" customHeight="1">
      <c r="A37" s="1213" t="s">
        <v>796</v>
      </c>
      <c r="B37" s="1213"/>
      <c r="C37" s="1213"/>
      <c r="D37" s="1213"/>
    </row>
  </sheetData>
  <mergeCells count="6">
    <mergeCell ref="A37:D37"/>
    <mergeCell ref="A3:D3"/>
    <mergeCell ref="A4:D4"/>
    <mergeCell ref="A5:D5"/>
    <mergeCell ref="A6:D6"/>
    <mergeCell ref="A7:D7"/>
  </mergeCells>
  <pageMargins left="0.25" right="0.33" top="0.78" bottom="0.43" header="0.5" footer="0.21"/>
  <pageSetup scale="68" fitToHeight="0" orientation="portrait" r:id="rId1"/>
  <headerFooter alignWithMargins="0">
    <oddHeader>&amp;R
&amp;A&amp;"Arial,Bold"
&amp;"Arial,Regular"Page &amp;P of &amp;N</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ransitionEvaluation="1" codeName="Sheet21">
    <pageSetUpPr fitToPage="1"/>
  </sheetPr>
  <dimension ref="A1:G36"/>
  <sheetViews>
    <sheetView defaultGridColor="0" view="pageBreakPreview" colorId="22" zoomScale="60" zoomScaleNormal="70" workbookViewId="0">
      <selection activeCell="G129" sqref="G129"/>
    </sheetView>
  </sheetViews>
  <sheetFormatPr defaultColWidth="14.7109375" defaultRowHeight="15"/>
  <cols>
    <col min="1" max="1" width="5.7109375" style="610" customWidth="1"/>
    <col min="2" max="2" width="42.5703125" style="610" customWidth="1"/>
    <col min="3" max="3" width="16.28515625" style="610" bestFit="1" customWidth="1"/>
    <col min="4" max="4" width="16.85546875" style="610" customWidth="1"/>
    <col min="5" max="5" width="18" style="610" customWidth="1"/>
    <col min="6" max="7" width="16.28515625" style="610" bestFit="1" customWidth="1"/>
    <col min="8" max="8" width="14.7109375" style="610" customWidth="1"/>
    <col min="9" max="16384" width="14.7109375" style="610"/>
  </cols>
  <sheetData>
    <row r="1" spans="1:7" ht="15.75">
      <c r="A1" s="696" t="s">
        <v>414</v>
      </c>
    </row>
    <row r="2" spans="1:7" ht="15.75">
      <c r="A2" s="696" t="s">
        <v>414</v>
      </c>
    </row>
    <row r="3" spans="1:7" ht="19.5">
      <c r="B3" s="1220" t="str">
        <f>TCOS!$F$5</f>
        <v>AEPTCo subsidiaries in PJM</v>
      </c>
      <c r="C3" s="1220"/>
      <c r="D3" s="1220"/>
      <c r="E3" s="1220"/>
      <c r="F3" s="609"/>
      <c r="G3" s="609"/>
    </row>
    <row r="4" spans="1:7" ht="19.5">
      <c r="B4" s="1220" t="s">
        <v>224</v>
      </c>
      <c r="C4" s="1220"/>
      <c r="D4" s="1220"/>
      <c r="E4" s="1220"/>
      <c r="F4" s="609"/>
      <c r="G4" s="609"/>
    </row>
    <row r="5" spans="1:7" ht="19.5">
      <c r="B5" s="1220" t="s">
        <v>225</v>
      </c>
      <c r="C5" s="1220"/>
      <c r="D5" s="1220"/>
      <c r="E5" s="1220"/>
      <c r="F5" s="609"/>
      <c r="G5" s="609"/>
    </row>
    <row r="6" spans="1:7" ht="19.5">
      <c r="B6" s="1220" t="s">
        <v>226</v>
      </c>
      <c r="C6" s="1220"/>
      <c r="D6" s="1220"/>
      <c r="E6" s="1220"/>
      <c r="F6" s="609"/>
      <c r="G6" s="609"/>
    </row>
    <row r="7" spans="1:7" ht="19.5">
      <c r="B7" s="1220" t="s">
        <v>814</v>
      </c>
      <c r="C7" s="1220"/>
      <c r="D7" s="1220"/>
      <c r="E7" s="1220"/>
      <c r="F7" s="609"/>
      <c r="G7" s="609"/>
    </row>
    <row r="8" spans="1:7" ht="19.5">
      <c r="B8" s="1220"/>
      <c r="C8" s="1220"/>
      <c r="D8" s="1220"/>
      <c r="E8" s="1220"/>
      <c r="F8" s="609"/>
      <c r="G8" s="609"/>
    </row>
    <row r="9" spans="1:7" ht="19.5">
      <c r="A9" s="610" t="s">
        <v>414</v>
      </c>
      <c r="B9" s="1221" t="str">
        <f>TCOS!F9</f>
        <v>AEP Kentucky Transmission Company</v>
      </c>
      <c r="C9" s="1138"/>
      <c r="D9" s="1138"/>
      <c r="E9" s="1138"/>
    </row>
    <row r="11" spans="1:7">
      <c r="B11" s="611"/>
      <c r="C11" s="611"/>
      <c r="D11" s="612"/>
    </row>
    <row r="12" spans="1:7" ht="15.75">
      <c r="B12" s="611"/>
      <c r="C12" s="613" t="s">
        <v>33</v>
      </c>
      <c r="D12" s="613" t="s">
        <v>35</v>
      </c>
    </row>
    <row r="13" spans="1:7" ht="16.5" thickBot="1">
      <c r="B13" s="612"/>
      <c r="C13" s="613" t="s">
        <v>34</v>
      </c>
      <c r="D13" s="614" t="s">
        <v>295</v>
      </c>
    </row>
    <row r="14" spans="1:7">
      <c r="B14" s="615" t="s">
        <v>36</v>
      </c>
      <c r="C14" s="616"/>
      <c r="D14" s="104"/>
    </row>
    <row r="15" spans="1:7">
      <c r="B15" s="617"/>
      <c r="C15" s="611"/>
      <c r="D15" s="105"/>
    </row>
    <row r="16" spans="1:7">
      <c r="B16" s="954" t="s">
        <v>54</v>
      </c>
      <c r="C16" s="958">
        <v>350.1</v>
      </c>
      <c r="D16" s="961">
        <v>1.44E-2</v>
      </c>
    </row>
    <row r="17" spans="2:5">
      <c r="B17" s="610" t="s">
        <v>37</v>
      </c>
      <c r="C17" s="958">
        <v>352</v>
      </c>
      <c r="D17" s="961">
        <v>2.0799999999999999E-2</v>
      </c>
      <c r="E17" s="961"/>
    </row>
    <row r="18" spans="2:5">
      <c r="B18" s="610" t="s">
        <v>38</v>
      </c>
      <c r="C18" s="958">
        <v>353</v>
      </c>
      <c r="D18" s="961">
        <v>2.1499999999999998E-2</v>
      </c>
    </row>
    <row r="19" spans="2:5">
      <c r="B19" s="610" t="s">
        <v>39</v>
      </c>
      <c r="C19" s="958">
        <v>354</v>
      </c>
      <c r="D19" s="961">
        <v>2.6100000000000002E-2</v>
      </c>
    </row>
    <row r="20" spans="2:5">
      <c r="B20" s="610" t="s">
        <v>40</v>
      </c>
      <c r="C20" s="958">
        <v>355</v>
      </c>
      <c r="D20" s="961">
        <v>3.95E-2</v>
      </c>
      <c r="E20" s="961"/>
    </row>
    <row r="21" spans="2:5">
      <c r="B21" s="610" t="s">
        <v>41</v>
      </c>
      <c r="C21" s="958">
        <v>356</v>
      </c>
      <c r="D21" s="961">
        <v>2.9100000000000001E-2</v>
      </c>
      <c r="E21" s="964"/>
    </row>
    <row r="22" spans="2:5">
      <c r="B22" s="610" t="s">
        <v>42</v>
      </c>
      <c r="C22" s="958">
        <v>357</v>
      </c>
      <c r="D22" s="961">
        <v>2.9899999999999999E-2</v>
      </c>
    </row>
    <row r="23" spans="2:5">
      <c r="B23" s="610" t="s">
        <v>43</v>
      </c>
      <c r="C23" s="958">
        <v>358</v>
      </c>
      <c r="D23" s="961">
        <v>2.6200000000000001E-2</v>
      </c>
    </row>
    <row r="25" spans="2:5" ht="85.15" customHeight="1">
      <c r="B25" s="1216" t="s">
        <v>815</v>
      </c>
      <c r="C25" s="1217"/>
      <c r="D25" s="1217"/>
      <c r="E25" s="1217"/>
    </row>
    <row r="26" spans="2:5">
      <c r="B26" s="955"/>
      <c r="C26" s="448"/>
      <c r="D26" s="448"/>
      <c r="E26" s="448"/>
    </row>
    <row r="27" spans="2:5" ht="15.75">
      <c r="B27" s="956" t="s">
        <v>72</v>
      </c>
      <c r="C27" s="959" t="s">
        <v>817</v>
      </c>
      <c r="D27" s="962" t="s">
        <v>545</v>
      </c>
    </row>
    <row r="28" spans="2:5">
      <c r="B28" s="618" t="s">
        <v>544</v>
      </c>
      <c r="C28" s="619">
        <v>438744866</v>
      </c>
      <c r="D28" s="620">
        <f>+C28</f>
        <v>438744866</v>
      </c>
    </row>
    <row r="29" spans="2:5">
      <c r="B29" s="618" t="s">
        <v>543</v>
      </c>
      <c r="C29" s="619">
        <v>431804417</v>
      </c>
      <c r="D29" s="620">
        <f>+C29</f>
        <v>431804417</v>
      </c>
    </row>
    <row r="30" spans="2:5">
      <c r="B30" s="618" t="s">
        <v>230</v>
      </c>
      <c r="C30" s="619">
        <f>AVERAGE(C28:C29)</f>
        <v>435274641.5</v>
      </c>
      <c r="D30" s="620">
        <f>+C30</f>
        <v>435274641.5</v>
      </c>
    </row>
    <row r="31" spans="2:5">
      <c r="B31" s="621" t="s">
        <v>546</v>
      </c>
      <c r="C31" s="619">
        <v>7420678</v>
      </c>
      <c r="D31" s="620">
        <f>+C31</f>
        <v>7420678</v>
      </c>
    </row>
    <row r="32" spans="2:5" ht="15.75">
      <c r="B32" s="957" t="s">
        <v>44</v>
      </c>
      <c r="C32" s="960" t="s">
        <v>414</v>
      </c>
      <c r="D32" s="963">
        <f>D31/D30</f>
        <v>1.7048266295568243E-2</v>
      </c>
    </row>
    <row r="34" spans="2:5" ht="15" customHeight="1">
      <c r="B34" s="1218" t="s">
        <v>816</v>
      </c>
      <c r="C34" s="1219"/>
      <c r="D34" s="1219"/>
      <c r="E34" s="1219"/>
    </row>
    <row r="35" spans="2:5">
      <c r="B35" s="1219"/>
      <c r="C35" s="1219"/>
      <c r="D35" s="1219"/>
      <c r="E35" s="1219"/>
    </row>
    <row r="36" spans="2:5" ht="64.900000000000006" customHeight="1">
      <c r="B36" s="1219"/>
      <c r="C36" s="1219"/>
      <c r="D36" s="1219"/>
      <c r="E36" s="1219"/>
    </row>
  </sheetData>
  <mergeCells count="9">
    <mergeCell ref="B25:E25"/>
    <mergeCell ref="B34:E36"/>
    <mergeCell ref="B3:E3"/>
    <mergeCell ref="B4:E4"/>
    <mergeCell ref="B5:E5"/>
    <mergeCell ref="B6:E6"/>
    <mergeCell ref="B7:E7"/>
    <mergeCell ref="B8:E8"/>
    <mergeCell ref="B9:E9"/>
  </mergeCells>
  <phoneticPr fontId="3" type="noConversion"/>
  <conditionalFormatting sqref="B3:B6 H3:IV8 C4:E6 F4:G8 F9:IV36 B37:IV65536">
    <cfRule type="cellIs" dxfId="3" priority="5" stopIfTrue="1" operator="lessThan">
      <formula>0</formula>
    </cfRule>
  </conditionalFormatting>
  <conditionalFormatting sqref="B9 B11:E11">
    <cfRule type="cellIs" dxfId="2" priority="2" stopIfTrue="1" operator="lessThan">
      <formula>0</formula>
    </cfRule>
  </conditionalFormatting>
  <conditionalFormatting sqref="B7:E8">
    <cfRule type="cellIs" dxfId="1" priority="3" stopIfTrue="1" operator="lessThan">
      <formula>0</formula>
    </cfRule>
  </conditionalFormatting>
  <conditionalFormatting sqref="D12 B12:C22 E12:E24 D14:D22 B23:D23 B25:B31 C27:D32 D33 B33:B34">
    <cfRule type="cellIs" dxfId="0" priority="1" stopIfTrue="1" operator="lessThan">
      <formula>0</formula>
    </cfRule>
  </conditionalFormatting>
  <pageMargins left="0.55000000000000004" right="0.55000000000000004" top="1.25" bottom="0.75" header="0.75" footer="0.27"/>
  <pageSetup scale="77" orientation="portrait" r:id="rId1"/>
  <headerFooter alignWithMargins="0">
    <oddHeader>&amp;RFormula Rate 
&amp;A
Page &amp;P of &amp;N</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L238"/>
  <sheetViews>
    <sheetView view="pageBreakPreview" zoomScale="75" zoomScaleNormal="75" zoomScaleSheetLayoutView="75" workbookViewId="0">
      <selection activeCell="G129" sqref="G129"/>
    </sheetView>
  </sheetViews>
  <sheetFormatPr defaultRowHeight="12.75"/>
  <cols>
    <col min="1" max="1" width="4.5703125" style="622" customWidth="1"/>
    <col min="2" max="2" width="68.140625" style="622" customWidth="1"/>
    <col min="3" max="3" width="18.140625" style="622" customWidth="1"/>
    <col min="4" max="4" width="2.140625" style="622" customWidth="1"/>
    <col min="5" max="5" width="17.28515625" style="622" customWidth="1"/>
    <col min="6" max="6" width="16.28515625" style="622" customWidth="1"/>
    <col min="7" max="7" width="14.5703125" style="622" customWidth="1"/>
    <col min="8" max="8" width="17.5703125" style="622" customWidth="1"/>
    <col min="9" max="9" width="14.42578125" style="622" customWidth="1"/>
    <col min="10" max="10" width="15.7109375" style="622" customWidth="1"/>
    <col min="11" max="16384" width="9.140625" style="622"/>
  </cols>
  <sheetData>
    <row r="1" spans="1:10" ht="15.75">
      <c r="A1" s="696" t="s">
        <v>414</v>
      </c>
    </row>
    <row r="2" spans="1:10" ht="15.75">
      <c r="A2" s="696" t="s">
        <v>414</v>
      </c>
    </row>
    <row r="3" spans="1:10">
      <c r="A3" s="1223" t="s">
        <v>513</v>
      </c>
      <c r="B3" s="1223"/>
      <c r="C3" s="1223"/>
      <c r="D3" s="1223"/>
      <c r="E3" s="1223"/>
      <c r="F3" s="1223"/>
      <c r="G3" s="1223"/>
      <c r="H3" s="1223"/>
      <c r="I3" s="1223"/>
      <c r="J3" s="1223"/>
    </row>
    <row r="4" spans="1:10">
      <c r="A4" s="1223" t="str">
        <f>"Consolidation of Operating Companies' Capital Structure @ December 31, "&amp;TCOS!L4&amp;""</f>
        <v>Consolidation of Operating Companies' Capital Structure @ December 31, 2026</v>
      </c>
      <c r="B4" s="1223"/>
      <c r="C4" s="1223"/>
      <c r="D4" s="1223"/>
      <c r="E4" s="1223"/>
      <c r="F4" s="1223"/>
      <c r="G4" s="1223"/>
      <c r="H4" s="1223"/>
      <c r="I4" s="1223"/>
      <c r="J4" s="1223"/>
    </row>
    <row r="5" spans="1:10">
      <c r="A5" s="1223" t="s">
        <v>256</v>
      </c>
      <c r="B5" s="1223"/>
      <c r="C5" s="1223"/>
      <c r="D5" s="1223"/>
      <c r="E5" s="1223"/>
      <c r="F5" s="1223"/>
      <c r="G5" s="1223"/>
      <c r="H5" s="1223"/>
      <c r="I5" s="1223"/>
      <c r="J5" s="1223"/>
    </row>
    <row r="7" spans="1:10" ht="76.5">
      <c r="A7" s="622" t="s">
        <v>467</v>
      </c>
      <c r="C7" s="623" t="s">
        <v>514</v>
      </c>
      <c r="D7" s="623"/>
      <c r="E7" s="623" t="s">
        <v>515</v>
      </c>
      <c r="F7" s="623" t="s">
        <v>516</v>
      </c>
      <c r="G7" s="623" t="s">
        <v>517</v>
      </c>
      <c r="H7" s="623" t="s">
        <v>518</v>
      </c>
      <c r="I7" s="623" t="s">
        <v>519</v>
      </c>
      <c r="J7" s="623" t="s">
        <v>520</v>
      </c>
    </row>
    <row r="8" spans="1:10" ht="15">
      <c r="A8" s="601" t="s">
        <v>521</v>
      </c>
    </row>
    <row r="9" spans="1:10">
      <c r="A9" s="622">
        <v>1</v>
      </c>
      <c r="B9" s="75" t="s">
        <v>346</v>
      </c>
      <c r="C9" s="602"/>
      <c r="D9" s="602"/>
      <c r="E9" s="602"/>
      <c r="F9" s="602"/>
      <c r="G9" s="602"/>
      <c r="H9" s="602"/>
      <c r="I9" s="602"/>
      <c r="J9" s="589">
        <f>SUM(C9:I9)</f>
        <v>0</v>
      </c>
    </row>
    <row r="10" spans="1:10">
      <c r="A10" s="622">
        <f>A9+1</f>
        <v>2</v>
      </c>
      <c r="B10" s="75" t="s">
        <v>347</v>
      </c>
      <c r="C10" s="602"/>
      <c r="D10" s="602"/>
      <c r="E10" s="602"/>
      <c r="F10" s="602"/>
      <c r="G10" s="602"/>
      <c r="H10" s="602"/>
      <c r="I10" s="602"/>
      <c r="J10" s="589">
        <f>SUM(C10:I10)</f>
        <v>0</v>
      </c>
    </row>
    <row r="11" spans="1:10">
      <c r="A11" s="622">
        <f>A10+1</f>
        <v>3</v>
      </c>
      <c r="B11" s="14" t="s">
        <v>23</v>
      </c>
      <c r="C11" s="602"/>
      <c r="D11" s="602"/>
      <c r="E11" s="602"/>
      <c r="F11" s="602"/>
      <c r="G11" s="602"/>
      <c r="H11" s="602"/>
      <c r="I11" s="602"/>
      <c r="J11" s="589">
        <f>SUM(C11:I11)</f>
        <v>0</v>
      </c>
    </row>
    <row r="12" spans="1:10">
      <c r="A12" s="622">
        <f>A11+1</f>
        <v>4</v>
      </c>
      <c r="B12" s="14" t="s">
        <v>17</v>
      </c>
      <c r="C12" s="602"/>
      <c r="D12" s="602"/>
      <c r="E12" s="602"/>
      <c r="F12" s="602"/>
      <c r="G12" s="602"/>
      <c r="H12" s="602"/>
      <c r="I12" s="602"/>
      <c r="J12" s="589">
        <f>SUM(C12:I12)</f>
        <v>0</v>
      </c>
    </row>
    <row r="13" spans="1:10">
      <c r="A13" s="622">
        <f>A12+1</f>
        <v>5</v>
      </c>
      <c r="B13" s="14" t="str">
        <f>"Less: Fair Value Hedges (See Note on Ln "&amp;A16&amp;" below)"</f>
        <v>Less: Fair Value Hedges (See Note on Ln 7 below)</v>
      </c>
      <c r="C13" s="118"/>
      <c r="D13" s="118"/>
      <c r="E13" s="118"/>
      <c r="F13" s="118"/>
      <c r="G13" s="118"/>
      <c r="H13" s="118"/>
      <c r="I13" s="118"/>
      <c r="J13" s="624">
        <f>SUM(C13:I13)</f>
        <v>0</v>
      </c>
    </row>
    <row r="14" spans="1:10">
      <c r="A14" s="622">
        <f>A13+1</f>
        <v>6</v>
      </c>
      <c r="B14" s="13" t="s">
        <v>67</v>
      </c>
      <c r="C14" s="625">
        <f t="shared" ref="C14:J14" si="0">C9-C10+C11+C12-C13</f>
        <v>0</v>
      </c>
      <c r="D14" s="625"/>
      <c r="E14" s="625">
        <f t="shared" si="0"/>
        <v>0</v>
      </c>
      <c r="F14" s="625">
        <f t="shared" si="0"/>
        <v>0</v>
      </c>
      <c r="G14" s="625">
        <f t="shared" si="0"/>
        <v>0</v>
      </c>
      <c r="H14" s="625">
        <f t="shared" si="0"/>
        <v>0</v>
      </c>
      <c r="I14" s="625">
        <f t="shared" si="0"/>
        <v>0</v>
      </c>
      <c r="J14" s="625">
        <f t="shared" si="0"/>
        <v>0</v>
      </c>
    </row>
    <row r="16" spans="1:10" ht="12.75" customHeight="1">
      <c r="A16" s="622">
        <f>A14+1</f>
        <v>7</v>
      </c>
      <c r="B16" s="1222" t="s">
        <v>553</v>
      </c>
      <c r="C16" s="1222"/>
      <c r="D16" s="1222"/>
      <c r="E16" s="1222"/>
      <c r="F16" s="1222"/>
      <c r="G16" s="1222"/>
      <c r="H16" s="1222"/>
      <c r="I16" s="1222"/>
      <c r="J16" s="1222"/>
    </row>
    <row r="17" spans="1:10" ht="12.75" customHeight="1">
      <c r="B17" s="626"/>
      <c r="C17" s="626"/>
      <c r="D17" s="626"/>
      <c r="E17" s="626"/>
      <c r="F17" s="626"/>
      <c r="G17" s="626"/>
      <c r="H17" s="626"/>
      <c r="I17" s="626"/>
      <c r="J17" s="626"/>
    </row>
    <row r="18" spans="1:10" ht="15">
      <c r="A18" s="601" t="s">
        <v>522</v>
      </c>
    </row>
    <row r="19" spans="1:10">
      <c r="A19" s="622">
        <f>A16+1</f>
        <v>8</v>
      </c>
      <c r="B19" s="75" t="s">
        <v>348</v>
      </c>
      <c r="C19" s="117"/>
      <c r="D19" s="117"/>
      <c r="E19" s="117"/>
      <c r="F19" s="117"/>
      <c r="G19" s="117"/>
      <c r="H19" s="117"/>
      <c r="I19" s="117"/>
      <c r="J19" s="342">
        <f t="shared" ref="J19:J24" si="1">SUM(C19:I19)</f>
        <v>0</v>
      </c>
    </row>
    <row r="20" spans="1:10">
      <c r="A20" s="622">
        <f t="shared" ref="A20:A25" si="2">A19+1</f>
        <v>9</v>
      </c>
      <c r="B20" s="75" t="s">
        <v>341</v>
      </c>
      <c r="C20" s="117"/>
      <c r="D20" s="117"/>
      <c r="E20" s="117"/>
      <c r="F20" s="117"/>
      <c r="G20" s="117"/>
      <c r="H20" s="117"/>
      <c r="I20" s="117"/>
      <c r="J20" s="342">
        <f t="shared" si="1"/>
        <v>0</v>
      </c>
    </row>
    <row r="21" spans="1:10">
      <c r="A21" s="622">
        <f t="shared" si="2"/>
        <v>10</v>
      </c>
      <c r="B21" s="75" t="s">
        <v>342</v>
      </c>
      <c r="C21" s="117"/>
      <c r="D21" s="117"/>
      <c r="E21" s="117"/>
      <c r="F21" s="117"/>
      <c r="G21" s="117"/>
      <c r="H21" s="117"/>
      <c r="I21" s="117"/>
      <c r="J21" s="342">
        <f t="shared" si="1"/>
        <v>0</v>
      </c>
    </row>
    <row r="22" spans="1:10">
      <c r="A22" s="622">
        <f t="shared" si="2"/>
        <v>11</v>
      </c>
      <c r="B22" s="75" t="s">
        <v>343</v>
      </c>
      <c r="C22" s="602"/>
      <c r="D22" s="602"/>
      <c r="E22" s="602"/>
      <c r="F22" s="602"/>
      <c r="G22" s="602"/>
      <c r="H22" s="602"/>
      <c r="I22" s="602"/>
      <c r="J22" s="589">
        <f t="shared" si="1"/>
        <v>0</v>
      </c>
    </row>
    <row r="23" spans="1:10">
      <c r="A23" s="622">
        <f t="shared" si="2"/>
        <v>12</v>
      </c>
      <c r="B23" s="75" t="s">
        <v>344</v>
      </c>
      <c r="C23" s="602"/>
      <c r="D23" s="602"/>
      <c r="E23" s="602"/>
      <c r="F23" s="602"/>
      <c r="G23" s="602"/>
      <c r="H23" s="602"/>
      <c r="I23" s="602"/>
      <c r="J23" s="589">
        <f t="shared" si="1"/>
        <v>0</v>
      </c>
    </row>
    <row r="24" spans="1:10">
      <c r="A24" s="622">
        <f t="shared" si="2"/>
        <v>13</v>
      </c>
      <c r="B24" s="627" t="s">
        <v>523</v>
      </c>
      <c r="C24" s="118"/>
      <c r="D24" s="118"/>
      <c r="E24" s="118"/>
      <c r="F24" s="118"/>
      <c r="G24" s="118"/>
      <c r="H24" s="118"/>
      <c r="I24" s="118"/>
      <c r="J24" s="624">
        <f t="shared" si="1"/>
        <v>0</v>
      </c>
    </row>
    <row r="25" spans="1:10">
      <c r="A25" s="622">
        <f t="shared" si="2"/>
        <v>14</v>
      </c>
      <c r="B25" s="628" t="s">
        <v>68</v>
      </c>
      <c r="C25" s="629">
        <f t="shared" ref="C25:J25" si="3">C19+C20+C21-C22-C23-C24</f>
        <v>0</v>
      </c>
      <c r="D25" s="629"/>
      <c r="E25" s="629">
        <f t="shared" si="3"/>
        <v>0</v>
      </c>
      <c r="F25" s="629">
        <f t="shared" si="3"/>
        <v>0</v>
      </c>
      <c r="G25" s="629">
        <f t="shared" si="3"/>
        <v>0</v>
      </c>
      <c r="H25" s="629">
        <f t="shared" si="3"/>
        <v>0</v>
      </c>
      <c r="I25" s="629">
        <f t="shared" si="3"/>
        <v>0</v>
      </c>
      <c r="J25" s="629">
        <f t="shared" si="3"/>
        <v>0</v>
      </c>
    </row>
    <row r="27" spans="1:10" ht="15">
      <c r="A27" s="601" t="s">
        <v>524</v>
      </c>
      <c r="B27" s="630"/>
      <c r="C27" s="630"/>
      <c r="D27" s="630"/>
      <c r="E27" s="630"/>
    </row>
    <row r="28" spans="1:10">
      <c r="A28" s="622">
        <f>A25+1</f>
        <v>15</v>
      </c>
      <c r="B28" s="76" t="s">
        <v>525</v>
      </c>
      <c r="C28" s="603"/>
      <c r="D28" s="646"/>
      <c r="E28" s="647"/>
      <c r="F28" s="646"/>
      <c r="G28" s="646"/>
      <c r="H28" s="603"/>
      <c r="I28" s="646"/>
      <c r="J28" s="631"/>
    </row>
    <row r="29" spans="1:10">
      <c r="A29" s="622">
        <f>A28+1</f>
        <v>16</v>
      </c>
      <c r="B29" s="76" t="s">
        <v>526</v>
      </c>
      <c r="C29" s="604"/>
      <c r="D29" s="648"/>
      <c r="E29" s="604"/>
      <c r="F29" s="648"/>
      <c r="G29" s="648"/>
      <c r="H29" s="604"/>
      <c r="I29" s="648"/>
      <c r="J29" s="632"/>
    </row>
    <row r="30" spans="1:10">
      <c r="A30" s="622">
        <f>A29+1</f>
        <v>17</v>
      </c>
      <c r="B30" s="76" t="s">
        <v>527</v>
      </c>
      <c r="C30" s="117"/>
      <c r="D30" s="649"/>
      <c r="E30" s="117"/>
      <c r="F30" s="649"/>
      <c r="G30" s="649"/>
      <c r="H30" s="117"/>
      <c r="I30" s="649"/>
    </row>
    <row r="31" spans="1:10">
      <c r="A31" s="622">
        <f>A30+1</f>
        <v>18</v>
      </c>
      <c r="B31" s="76" t="str">
        <f>"Monetary Value (Ln "&amp;A29&amp;" * Ln "&amp;A30&amp;")"</f>
        <v>Monetary Value (Ln 16 * Ln 17)</v>
      </c>
      <c r="C31" s="341">
        <f t="shared" ref="C31:I31" si="4">C29*C30</f>
        <v>0</v>
      </c>
      <c r="D31" s="341"/>
      <c r="E31" s="341">
        <f t="shared" si="4"/>
        <v>0</v>
      </c>
      <c r="F31" s="341">
        <f t="shared" si="4"/>
        <v>0</v>
      </c>
      <c r="G31" s="341">
        <f t="shared" si="4"/>
        <v>0</v>
      </c>
      <c r="H31" s="341">
        <f t="shared" si="4"/>
        <v>0</v>
      </c>
      <c r="I31" s="341">
        <f t="shared" si="4"/>
        <v>0</v>
      </c>
      <c r="J31" s="629">
        <f>SUM(C31:I31)</f>
        <v>0</v>
      </c>
    </row>
    <row r="32" spans="1:10">
      <c r="A32" s="622">
        <f>A31+1</f>
        <v>19</v>
      </c>
      <c r="B32" s="76" t="str">
        <f>"Dividend Amount (Ln "&amp;A28&amp;" * Ln "&amp;A31&amp;")"</f>
        <v>Dividend Amount (Ln 15 * Ln 18)</v>
      </c>
      <c r="C32" s="341">
        <f t="shared" ref="C32:I32" si="5">C31*C28</f>
        <v>0</v>
      </c>
      <c r="D32" s="341"/>
      <c r="E32" s="341">
        <f t="shared" si="5"/>
        <v>0</v>
      </c>
      <c r="F32" s="341">
        <f t="shared" si="5"/>
        <v>0</v>
      </c>
      <c r="G32" s="341">
        <f t="shared" si="5"/>
        <v>0</v>
      </c>
      <c r="H32" s="341">
        <f t="shared" si="5"/>
        <v>0</v>
      </c>
      <c r="I32" s="341">
        <f t="shared" si="5"/>
        <v>0</v>
      </c>
      <c r="J32" s="629">
        <f>SUM(C32:I32)</f>
        <v>0</v>
      </c>
    </row>
    <row r="34" spans="1:10">
      <c r="A34" s="622">
        <f>A32+1</f>
        <v>20</v>
      </c>
      <c r="B34" s="76" t="s">
        <v>525</v>
      </c>
      <c r="C34" s="603"/>
      <c r="D34" s="646"/>
      <c r="E34" s="647"/>
      <c r="F34" s="646"/>
      <c r="G34" s="646"/>
      <c r="H34" s="603"/>
      <c r="I34" s="646"/>
    </row>
    <row r="35" spans="1:10">
      <c r="A35" s="622">
        <f>A34+1</f>
        <v>21</v>
      </c>
      <c r="B35" s="76" t="s">
        <v>526</v>
      </c>
      <c r="C35" s="604"/>
      <c r="D35" s="648"/>
      <c r="E35" s="604"/>
      <c r="F35" s="648"/>
      <c r="G35" s="648"/>
      <c r="H35" s="604"/>
      <c r="I35" s="648"/>
    </row>
    <row r="36" spans="1:10">
      <c r="A36" s="622">
        <f>A35+1</f>
        <v>22</v>
      </c>
      <c r="B36" s="76" t="s">
        <v>527</v>
      </c>
      <c r="C36" s="117"/>
      <c r="D36" s="649"/>
      <c r="E36" s="117"/>
      <c r="F36" s="649"/>
      <c r="G36" s="649"/>
      <c r="H36" s="117"/>
      <c r="I36" s="649"/>
    </row>
    <row r="37" spans="1:10">
      <c r="A37" s="622">
        <f>A36+1</f>
        <v>23</v>
      </c>
      <c r="B37" s="76" t="str">
        <f>"Monetary Value (Ln "&amp;A35&amp;" * Ln "&amp;A36&amp;")"</f>
        <v>Monetary Value (Ln 21 * Ln 22)</v>
      </c>
      <c r="C37" s="341">
        <f t="shared" ref="C37:I37" si="6">C35*C36</f>
        <v>0</v>
      </c>
      <c r="D37" s="341"/>
      <c r="E37" s="341">
        <f t="shared" si="6"/>
        <v>0</v>
      </c>
      <c r="F37" s="341">
        <f t="shared" si="6"/>
        <v>0</v>
      </c>
      <c r="G37" s="341">
        <f t="shared" si="6"/>
        <v>0</v>
      </c>
      <c r="H37" s="341">
        <f t="shared" si="6"/>
        <v>0</v>
      </c>
      <c r="I37" s="341">
        <f t="shared" si="6"/>
        <v>0</v>
      </c>
      <c r="J37" s="629">
        <f>SUM(C37:I37)</f>
        <v>0</v>
      </c>
    </row>
    <row r="38" spans="1:10">
      <c r="A38" s="622">
        <f>A37+1</f>
        <v>24</v>
      </c>
      <c r="B38" s="76" t="str">
        <f>"Dividend Amount (Ln "&amp;A34&amp;" * Ln "&amp;A37&amp;")"</f>
        <v>Dividend Amount (Ln 20 * Ln 23)</v>
      </c>
      <c r="C38" s="341">
        <f t="shared" ref="C38:I38" si="7">C37*C34</f>
        <v>0</v>
      </c>
      <c r="D38" s="341"/>
      <c r="E38" s="341">
        <f t="shared" si="7"/>
        <v>0</v>
      </c>
      <c r="F38" s="341">
        <f t="shared" si="7"/>
        <v>0</v>
      </c>
      <c r="G38" s="341">
        <f t="shared" si="7"/>
        <v>0</v>
      </c>
      <c r="H38" s="341">
        <f t="shared" si="7"/>
        <v>0</v>
      </c>
      <c r="I38" s="341">
        <f t="shared" si="7"/>
        <v>0</v>
      </c>
      <c r="J38" s="629">
        <f>SUM(C38:I38)</f>
        <v>0</v>
      </c>
    </row>
    <row r="40" spans="1:10">
      <c r="A40" s="622">
        <f>A38+1</f>
        <v>25</v>
      </c>
      <c r="B40" s="76" t="s">
        <v>525</v>
      </c>
      <c r="C40" s="603"/>
      <c r="D40" s="646"/>
      <c r="E40" s="647"/>
      <c r="F40" s="646"/>
      <c r="G40" s="646"/>
      <c r="H40" s="603"/>
      <c r="I40" s="646"/>
    </row>
    <row r="41" spans="1:10">
      <c r="A41" s="622">
        <f>A40+1</f>
        <v>26</v>
      </c>
      <c r="B41" s="76" t="s">
        <v>526</v>
      </c>
      <c r="C41" s="604"/>
      <c r="D41" s="648"/>
      <c r="E41" s="604"/>
      <c r="F41" s="648"/>
      <c r="G41" s="648"/>
      <c r="H41" s="604"/>
      <c r="I41" s="648"/>
    </row>
    <row r="42" spans="1:10">
      <c r="A42" s="622">
        <f>A41+1</f>
        <v>27</v>
      </c>
      <c r="B42" s="76" t="s">
        <v>527</v>
      </c>
      <c r="C42" s="117"/>
      <c r="D42" s="649"/>
      <c r="E42" s="117"/>
      <c r="F42" s="649"/>
      <c r="G42" s="649"/>
      <c r="H42" s="117"/>
      <c r="I42" s="649"/>
    </row>
    <row r="43" spans="1:10">
      <c r="A43" s="622">
        <f>A42+1</f>
        <v>28</v>
      </c>
      <c r="B43" s="76" t="str">
        <f>"Monetary Value (Ln "&amp;A41&amp;" * Ln "&amp;A42&amp;")"</f>
        <v>Monetary Value (Ln 26 * Ln 27)</v>
      </c>
      <c r="C43" s="341">
        <f t="shared" ref="C43:I43" si="8">C41*C42</f>
        <v>0</v>
      </c>
      <c r="D43" s="341"/>
      <c r="E43" s="341">
        <f t="shared" si="8"/>
        <v>0</v>
      </c>
      <c r="F43" s="341">
        <f t="shared" si="8"/>
        <v>0</v>
      </c>
      <c r="G43" s="341">
        <f t="shared" si="8"/>
        <v>0</v>
      </c>
      <c r="H43" s="341">
        <f t="shared" si="8"/>
        <v>0</v>
      </c>
      <c r="I43" s="341">
        <f t="shared" si="8"/>
        <v>0</v>
      </c>
      <c r="J43" s="629">
        <f>SUM(C43:I43)</f>
        <v>0</v>
      </c>
    </row>
    <row r="44" spans="1:10">
      <c r="A44" s="622">
        <f>A43+1</f>
        <v>29</v>
      </c>
      <c r="B44" s="76" t="str">
        <f>"Dividend Amount (Ln "&amp;A40&amp;" * Ln "&amp;A43&amp;")"</f>
        <v>Dividend Amount (Ln 25 * Ln 28)</v>
      </c>
      <c r="C44" s="341">
        <f t="shared" ref="C44:I44" si="9">C43*C40</f>
        <v>0</v>
      </c>
      <c r="D44" s="341"/>
      <c r="E44" s="341">
        <f t="shared" si="9"/>
        <v>0</v>
      </c>
      <c r="F44" s="341">
        <f t="shared" si="9"/>
        <v>0</v>
      </c>
      <c r="G44" s="341">
        <f t="shared" si="9"/>
        <v>0</v>
      </c>
      <c r="H44" s="341">
        <f t="shared" si="9"/>
        <v>0</v>
      </c>
      <c r="I44" s="341">
        <f t="shared" si="9"/>
        <v>0</v>
      </c>
      <c r="J44" s="629">
        <f>SUM(C44:I44)</f>
        <v>0</v>
      </c>
    </row>
    <row r="46" spans="1:10">
      <c r="A46" s="622">
        <f>A44+1</f>
        <v>30</v>
      </c>
      <c r="B46" s="76" t="s">
        <v>525</v>
      </c>
      <c r="C46" s="603"/>
      <c r="D46" s="646"/>
      <c r="E46" s="647"/>
      <c r="F46" s="646"/>
      <c r="G46" s="646"/>
      <c r="H46" s="603"/>
      <c r="I46" s="646"/>
    </row>
    <row r="47" spans="1:10">
      <c r="A47" s="622">
        <f>A46+1</f>
        <v>31</v>
      </c>
      <c r="B47" s="76" t="s">
        <v>526</v>
      </c>
      <c r="C47" s="604"/>
      <c r="D47" s="648"/>
      <c r="E47" s="604"/>
      <c r="F47" s="648"/>
      <c r="G47" s="648"/>
      <c r="H47" s="604"/>
      <c r="I47" s="648"/>
    </row>
    <row r="48" spans="1:10">
      <c r="A48" s="622">
        <f>A47+1</f>
        <v>32</v>
      </c>
      <c r="B48" s="76" t="s">
        <v>527</v>
      </c>
      <c r="C48" s="117"/>
      <c r="D48" s="649"/>
      <c r="E48" s="117"/>
      <c r="F48" s="649"/>
      <c r="G48" s="649"/>
      <c r="H48" s="117"/>
      <c r="I48" s="649"/>
    </row>
    <row r="49" spans="1:10">
      <c r="A49" s="622">
        <f>A48+1</f>
        <v>33</v>
      </c>
      <c r="B49" s="76" t="str">
        <f>"Monetary Value (Ln "&amp;A47&amp;" * Ln "&amp;A48&amp;")"</f>
        <v>Monetary Value (Ln 31 * Ln 32)</v>
      </c>
      <c r="C49" s="341">
        <f t="shared" ref="C49:I49" si="10">C47*C48</f>
        <v>0</v>
      </c>
      <c r="D49" s="341"/>
      <c r="E49" s="341">
        <f t="shared" si="10"/>
        <v>0</v>
      </c>
      <c r="F49" s="341">
        <f t="shared" si="10"/>
        <v>0</v>
      </c>
      <c r="G49" s="341">
        <f t="shared" si="10"/>
        <v>0</v>
      </c>
      <c r="H49" s="341">
        <f t="shared" si="10"/>
        <v>0</v>
      </c>
      <c r="I49" s="341">
        <f t="shared" si="10"/>
        <v>0</v>
      </c>
      <c r="J49" s="629">
        <f>SUM(C49:I49)</f>
        <v>0</v>
      </c>
    </row>
    <row r="50" spans="1:10">
      <c r="A50" s="622">
        <f>A49+1</f>
        <v>34</v>
      </c>
      <c r="B50" s="76" t="str">
        <f>"Dividend Amount (Ln "&amp;A46&amp;" * Ln "&amp;A49&amp;")"</f>
        <v>Dividend Amount (Ln 30 * Ln 33)</v>
      </c>
      <c r="C50" s="341">
        <f t="shared" ref="C50:I50" si="11">C49*C46</f>
        <v>0</v>
      </c>
      <c r="D50" s="341"/>
      <c r="E50" s="341">
        <f t="shared" si="11"/>
        <v>0</v>
      </c>
      <c r="F50" s="341">
        <f t="shared" si="11"/>
        <v>0</v>
      </c>
      <c r="G50" s="341">
        <f t="shared" si="11"/>
        <v>0</v>
      </c>
      <c r="H50" s="341">
        <f t="shared" si="11"/>
        <v>0</v>
      </c>
      <c r="I50" s="341">
        <f t="shared" si="11"/>
        <v>0</v>
      </c>
      <c r="J50" s="629">
        <f>SUM(C50:I50)</f>
        <v>0</v>
      </c>
    </row>
    <row r="51" spans="1:10">
      <c r="B51" s="76"/>
    </row>
    <row r="52" spans="1:10">
      <c r="A52" s="622">
        <f>A50+1</f>
        <v>35</v>
      </c>
      <c r="B52" s="344" t="str">
        <f>"Preferred Stock (Lns "&amp;A31&amp;", "&amp;A37&amp;", "&amp;A43&amp;","&amp;A49&amp;")"</f>
        <v>Preferred Stock (Lns 18, 23, 28,33)</v>
      </c>
      <c r="C52" s="629">
        <f t="shared" ref="C52:I53" si="12">C31+C37+C43+C49</f>
        <v>0</v>
      </c>
      <c r="D52" s="629"/>
      <c r="E52" s="629">
        <f t="shared" si="12"/>
        <v>0</v>
      </c>
      <c r="F52" s="629">
        <f t="shared" si="12"/>
        <v>0</v>
      </c>
      <c r="G52" s="629">
        <f t="shared" si="12"/>
        <v>0</v>
      </c>
      <c r="H52" s="629">
        <f t="shared" si="12"/>
        <v>0</v>
      </c>
      <c r="I52" s="629">
        <f t="shared" si="12"/>
        <v>0</v>
      </c>
      <c r="J52" s="629">
        <f>SUM(C52:I52)</f>
        <v>0</v>
      </c>
    </row>
    <row r="53" spans="1:10">
      <c r="A53" s="622">
        <f>A52+1</f>
        <v>36</v>
      </c>
      <c r="B53" s="344" t="str">
        <f>"Preferred Dividends (Lns "&amp;A32&amp;", "&amp;A38&amp;", "&amp;A44&amp;","&amp;A50&amp;")"</f>
        <v>Preferred Dividends (Lns 19, 24, 29,34)</v>
      </c>
      <c r="C53" s="629">
        <f t="shared" si="12"/>
        <v>0</v>
      </c>
      <c r="D53" s="629"/>
      <c r="E53" s="629">
        <f t="shared" si="12"/>
        <v>0</v>
      </c>
      <c r="F53" s="629">
        <f t="shared" si="12"/>
        <v>0</v>
      </c>
      <c r="G53" s="629">
        <f t="shared" si="12"/>
        <v>0</v>
      </c>
      <c r="H53" s="629">
        <f t="shared" si="12"/>
        <v>0</v>
      </c>
      <c r="I53" s="629">
        <f t="shared" si="12"/>
        <v>0</v>
      </c>
      <c r="J53" s="629">
        <f>SUM(C53:I53)</f>
        <v>0</v>
      </c>
    </row>
    <row r="54" spans="1:10">
      <c r="B54" s="633"/>
    </row>
    <row r="55" spans="1:10" ht="15">
      <c r="A55" s="601" t="s">
        <v>528</v>
      </c>
    </row>
    <row r="56" spans="1:10">
      <c r="A56" s="622">
        <f>A53+1</f>
        <v>37</v>
      </c>
      <c r="B56" s="451" t="s">
        <v>529</v>
      </c>
      <c r="C56" s="117"/>
      <c r="D56" s="117"/>
      <c r="E56" s="117"/>
      <c r="F56" s="117"/>
      <c r="G56" s="117"/>
      <c r="H56" s="117"/>
      <c r="I56" s="117"/>
      <c r="J56" s="629">
        <f>SUM(C56:I56)</f>
        <v>0</v>
      </c>
    </row>
    <row r="57" spans="1:10">
      <c r="A57" s="622">
        <f>A56+1</f>
        <v>38</v>
      </c>
      <c r="B57" s="451" t="str">
        <f>"Less: Preferred Stock (Ln "&amp;A52&amp;" Above)"</f>
        <v>Less: Preferred Stock (Ln 35 Above)</v>
      </c>
      <c r="C57" s="342">
        <f t="shared" ref="C57:I57" si="13">C52</f>
        <v>0</v>
      </c>
      <c r="D57" s="342"/>
      <c r="E57" s="342">
        <f t="shared" si="13"/>
        <v>0</v>
      </c>
      <c r="F57" s="342">
        <f t="shared" si="13"/>
        <v>0</v>
      </c>
      <c r="G57" s="342">
        <f t="shared" si="13"/>
        <v>0</v>
      </c>
      <c r="H57" s="342">
        <f t="shared" si="13"/>
        <v>0</v>
      </c>
      <c r="I57" s="342">
        <f t="shared" si="13"/>
        <v>0</v>
      </c>
      <c r="J57" s="629">
        <f>SUM(C57:I57)</f>
        <v>0</v>
      </c>
    </row>
    <row r="58" spans="1:10">
      <c r="A58" s="622">
        <f>A57+1</f>
        <v>39</v>
      </c>
      <c r="B58" s="451" t="s">
        <v>530</v>
      </c>
      <c r="C58" s="602"/>
      <c r="D58" s="602"/>
      <c r="E58" s="602"/>
      <c r="F58" s="602"/>
      <c r="G58" s="602"/>
      <c r="H58" s="602"/>
      <c r="I58" s="602"/>
      <c r="J58" s="629">
        <f>SUM(C58:I58)</f>
        <v>0</v>
      </c>
    </row>
    <row r="59" spans="1:10">
      <c r="A59" s="622">
        <f>A58+1</f>
        <v>40</v>
      </c>
      <c r="B59" s="451" t="s">
        <v>531</v>
      </c>
      <c r="C59" s="118"/>
      <c r="D59" s="118"/>
      <c r="E59" s="118"/>
      <c r="F59" s="118"/>
      <c r="G59" s="118"/>
      <c r="H59" s="118"/>
      <c r="I59" s="118"/>
      <c r="J59" s="634">
        <f>SUM(C59:I59)</f>
        <v>0</v>
      </c>
    </row>
    <row r="60" spans="1:10">
      <c r="A60" s="622">
        <f>A59+1</f>
        <v>41</v>
      </c>
      <c r="B60" s="455" t="s">
        <v>532</v>
      </c>
      <c r="C60" s="589">
        <f t="shared" ref="C60:J60" si="14">C56-C57-C58-C59</f>
        <v>0</v>
      </c>
      <c r="D60" s="589"/>
      <c r="E60" s="589">
        <f t="shared" si="14"/>
        <v>0</v>
      </c>
      <c r="F60" s="589">
        <f t="shared" si="14"/>
        <v>0</v>
      </c>
      <c r="G60" s="589">
        <f t="shared" si="14"/>
        <v>0</v>
      </c>
      <c r="H60" s="589">
        <f t="shared" si="14"/>
        <v>0</v>
      </c>
      <c r="I60" s="589">
        <f t="shared" si="14"/>
        <v>0</v>
      </c>
      <c r="J60" s="589">
        <f t="shared" si="14"/>
        <v>0</v>
      </c>
    </row>
    <row r="62" spans="1:10" ht="15">
      <c r="A62" s="601" t="s">
        <v>533</v>
      </c>
    </row>
    <row r="63" spans="1:10">
      <c r="A63" s="622">
        <f>A60+1</f>
        <v>42</v>
      </c>
      <c r="B63" s="7" t="str">
        <f>"Long Term Debt (Ln "&amp;A14&amp;" Above)"</f>
        <v>Long Term Debt (Ln 6 Above)</v>
      </c>
      <c r="C63" s="629">
        <f t="shared" ref="C63:J63" si="15">C14</f>
        <v>0</v>
      </c>
      <c r="D63" s="629"/>
      <c r="E63" s="629">
        <f t="shared" si="15"/>
        <v>0</v>
      </c>
      <c r="F63" s="629">
        <f t="shared" si="15"/>
        <v>0</v>
      </c>
      <c r="G63" s="629">
        <f t="shared" si="15"/>
        <v>0</v>
      </c>
      <c r="H63" s="629">
        <f t="shared" si="15"/>
        <v>0</v>
      </c>
      <c r="I63" s="629">
        <f t="shared" si="15"/>
        <v>0</v>
      </c>
      <c r="J63" s="629">
        <f t="shared" si="15"/>
        <v>0</v>
      </c>
    </row>
    <row r="64" spans="1:10">
      <c r="A64" s="622">
        <f>A63+1</f>
        <v>43</v>
      </c>
      <c r="B64" s="7" t="str">
        <f>"Preferred Stock (Ln "&amp;A52&amp;" Above)"</f>
        <v>Preferred Stock (Ln 35 Above)</v>
      </c>
      <c r="C64" s="629">
        <f t="shared" ref="C64:J64" si="16">C52</f>
        <v>0</v>
      </c>
      <c r="D64" s="629"/>
      <c r="E64" s="629">
        <f t="shared" si="16"/>
        <v>0</v>
      </c>
      <c r="F64" s="629">
        <f t="shared" si="16"/>
        <v>0</v>
      </c>
      <c r="G64" s="629">
        <f t="shared" si="16"/>
        <v>0</v>
      </c>
      <c r="H64" s="629">
        <f t="shared" si="16"/>
        <v>0</v>
      </c>
      <c r="I64" s="629">
        <f t="shared" si="16"/>
        <v>0</v>
      </c>
      <c r="J64" s="629">
        <f t="shared" si="16"/>
        <v>0</v>
      </c>
    </row>
    <row r="65" spans="1:10">
      <c r="A65" s="622">
        <f>A64+1</f>
        <v>44</v>
      </c>
      <c r="B65" s="7" t="str">
        <f>"Common Equity (Ln "&amp;A60&amp;" Above)"</f>
        <v>Common Equity (Ln 41 Above)</v>
      </c>
      <c r="C65" s="634">
        <f t="shared" ref="C65:J65" si="17">C60</f>
        <v>0</v>
      </c>
      <c r="D65" s="634"/>
      <c r="E65" s="634">
        <f t="shared" si="17"/>
        <v>0</v>
      </c>
      <c r="F65" s="634">
        <f t="shared" si="17"/>
        <v>0</v>
      </c>
      <c r="G65" s="634">
        <f t="shared" si="17"/>
        <v>0</v>
      </c>
      <c r="H65" s="634">
        <f t="shared" si="17"/>
        <v>0</v>
      </c>
      <c r="I65" s="634">
        <f t="shared" si="17"/>
        <v>0</v>
      </c>
      <c r="J65" s="634">
        <f t="shared" si="17"/>
        <v>0</v>
      </c>
    </row>
    <row r="66" spans="1:10">
      <c r="A66" s="622">
        <f>A65+1</f>
        <v>45</v>
      </c>
      <c r="B66" s="622" t="s">
        <v>534</v>
      </c>
      <c r="C66" s="629">
        <f t="shared" ref="C66:J66" si="18">SUM(C63:C65)</f>
        <v>0</v>
      </c>
      <c r="D66" s="629"/>
      <c r="E66" s="629">
        <f t="shared" si="18"/>
        <v>0</v>
      </c>
      <c r="F66" s="629">
        <f t="shared" si="18"/>
        <v>0</v>
      </c>
      <c r="G66" s="629">
        <f t="shared" si="18"/>
        <v>0</v>
      </c>
      <c r="H66" s="629">
        <f t="shared" si="18"/>
        <v>0</v>
      </c>
      <c r="I66" s="629">
        <f t="shared" si="18"/>
        <v>0</v>
      </c>
      <c r="J66" s="629">
        <f t="shared" si="18"/>
        <v>0</v>
      </c>
    </row>
    <row r="68" spans="1:10">
      <c r="A68" s="622">
        <f>A66+1</f>
        <v>46</v>
      </c>
      <c r="B68" s="7" t="str">
        <f>"LTD Capital Shares (Ln "&amp;A63&amp;" / Ln "&amp;A66&amp;")"</f>
        <v>LTD Capital Shares (Ln 42 / Ln 45)</v>
      </c>
      <c r="C68" s="635" t="e">
        <f t="shared" ref="C68:J68" si="19">C63/C66</f>
        <v>#DIV/0!</v>
      </c>
      <c r="D68" s="635"/>
      <c r="E68" s="635" t="e">
        <f t="shared" si="19"/>
        <v>#DIV/0!</v>
      </c>
      <c r="F68" s="635" t="e">
        <f t="shared" si="19"/>
        <v>#DIV/0!</v>
      </c>
      <c r="G68" s="635" t="e">
        <f t="shared" si="19"/>
        <v>#DIV/0!</v>
      </c>
      <c r="H68" s="635" t="e">
        <f t="shared" si="19"/>
        <v>#DIV/0!</v>
      </c>
      <c r="I68" s="635" t="e">
        <f t="shared" si="19"/>
        <v>#DIV/0!</v>
      </c>
      <c r="J68" s="635" t="e">
        <f t="shared" si="19"/>
        <v>#DIV/0!</v>
      </c>
    </row>
    <row r="69" spans="1:10">
      <c r="A69" s="622">
        <f>A68+1</f>
        <v>47</v>
      </c>
      <c r="B69" s="7" t="str">
        <f>"Preferred Stock Capital Shares (Ln "&amp;A64&amp;" / Ln "&amp;A66&amp;")"</f>
        <v>Preferred Stock Capital Shares (Ln 43 / Ln 45)</v>
      </c>
      <c r="C69" s="635" t="e">
        <f t="shared" ref="C69:J69" si="20">C64/C66</f>
        <v>#DIV/0!</v>
      </c>
      <c r="D69" s="635"/>
      <c r="E69" s="635" t="e">
        <f t="shared" si="20"/>
        <v>#DIV/0!</v>
      </c>
      <c r="F69" s="635" t="e">
        <f t="shared" si="20"/>
        <v>#DIV/0!</v>
      </c>
      <c r="G69" s="635" t="e">
        <f t="shared" si="20"/>
        <v>#DIV/0!</v>
      </c>
      <c r="H69" s="635" t="e">
        <f t="shared" si="20"/>
        <v>#DIV/0!</v>
      </c>
      <c r="I69" s="635" t="e">
        <f t="shared" si="20"/>
        <v>#DIV/0!</v>
      </c>
      <c r="J69" s="635" t="e">
        <f t="shared" si="20"/>
        <v>#DIV/0!</v>
      </c>
    </row>
    <row r="70" spans="1:10">
      <c r="A70" s="622">
        <f>A69+1</f>
        <v>48</v>
      </c>
      <c r="B70" s="7" t="str">
        <f>"Common Equity Capital Shares (Ln "&amp;A65&amp;" / Ln "&amp;A66&amp;")"</f>
        <v>Common Equity Capital Shares (Ln 44 / Ln 45)</v>
      </c>
      <c r="C70" s="636" t="e">
        <f t="shared" ref="C70:J70" si="21">C65/C66</f>
        <v>#DIV/0!</v>
      </c>
      <c r="D70" s="636"/>
      <c r="E70" s="636" t="e">
        <f t="shared" si="21"/>
        <v>#DIV/0!</v>
      </c>
      <c r="F70" s="636" t="e">
        <f t="shared" si="21"/>
        <v>#DIV/0!</v>
      </c>
      <c r="G70" s="636" t="e">
        <f t="shared" si="21"/>
        <v>#DIV/0!</v>
      </c>
      <c r="H70" s="636" t="e">
        <f t="shared" si="21"/>
        <v>#DIV/0!</v>
      </c>
      <c r="I70" s="636" t="e">
        <f t="shared" si="21"/>
        <v>#DIV/0!</v>
      </c>
      <c r="J70" s="636" t="e">
        <f t="shared" si="21"/>
        <v>#DIV/0!</v>
      </c>
    </row>
    <row r="71" spans="1:10">
      <c r="B71" s="7"/>
      <c r="C71" s="636"/>
      <c r="D71" s="636"/>
      <c r="E71" s="636"/>
      <c r="F71" s="636"/>
      <c r="G71" s="636"/>
      <c r="H71" s="636"/>
      <c r="I71" s="636"/>
      <c r="J71" s="636"/>
    </row>
    <row r="72" spans="1:10">
      <c r="A72" s="622">
        <f>A70+1</f>
        <v>49</v>
      </c>
      <c r="B72" s="344" t="s">
        <v>564</v>
      </c>
      <c r="C72" s="637"/>
      <c r="D72" s="637"/>
      <c r="E72" s="637"/>
      <c r="F72" s="637"/>
      <c r="G72" s="637"/>
      <c r="H72" s="637"/>
      <c r="I72" s="637"/>
      <c r="J72" s="637"/>
    </row>
    <row r="73" spans="1:10">
      <c r="B73" s="7"/>
      <c r="C73" s="636"/>
      <c r="D73" s="636"/>
      <c r="E73" s="636"/>
      <c r="F73" s="636"/>
      <c r="G73" s="636"/>
      <c r="H73" s="636"/>
      <c r="I73" s="636"/>
      <c r="J73" s="636"/>
    </row>
    <row r="74" spans="1:10">
      <c r="A74" s="622">
        <f>A72+1</f>
        <v>50</v>
      </c>
      <c r="B74" s="344" t="s">
        <v>564</v>
      </c>
      <c r="C74" s="636"/>
      <c r="D74" s="636"/>
      <c r="E74" s="636"/>
      <c r="F74" s="636"/>
      <c r="G74" s="636"/>
      <c r="H74" s="636"/>
      <c r="I74" s="636"/>
      <c r="J74" s="636"/>
    </row>
    <row r="75" spans="1:10">
      <c r="A75" s="622">
        <f>A74+1</f>
        <v>51</v>
      </c>
      <c r="B75" s="344" t="s">
        <v>564</v>
      </c>
      <c r="C75" s="636"/>
      <c r="D75" s="636"/>
      <c r="E75" s="636"/>
      <c r="F75" s="636"/>
      <c r="G75" s="636"/>
      <c r="H75" s="636"/>
      <c r="I75" s="636"/>
      <c r="J75" s="636"/>
    </row>
    <row r="76" spans="1:10">
      <c r="A76" s="622">
        <f>A75+1</f>
        <v>52</v>
      </c>
      <c r="B76" s="344" t="s">
        <v>564</v>
      </c>
      <c r="C76" s="636"/>
      <c r="D76" s="636"/>
      <c r="E76" s="636"/>
      <c r="F76" s="636"/>
      <c r="G76" s="636"/>
      <c r="H76" s="636"/>
      <c r="I76" s="636"/>
      <c r="J76" s="636"/>
    </row>
    <row r="77" spans="1:10">
      <c r="B77" s="7"/>
      <c r="C77" s="635"/>
      <c r="D77" s="635"/>
      <c r="E77" s="635"/>
      <c r="F77" s="635"/>
      <c r="G77" s="635"/>
      <c r="H77" s="635"/>
      <c r="I77" s="635"/>
      <c r="J77" s="635"/>
    </row>
    <row r="78" spans="1:10" ht="15">
      <c r="A78" s="601" t="s">
        <v>535</v>
      </c>
    </row>
    <row r="79" spans="1:10">
      <c r="A79" s="622">
        <f>A76+1</f>
        <v>53</v>
      </c>
      <c r="B79" s="7" t="str">
        <f>"LTD Capital Cost Rate (Ln "&amp;A25&amp;" / Ln "&amp;A14&amp;")"</f>
        <v>LTD Capital Cost Rate (Ln 14 / Ln 6)</v>
      </c>
      <c r="C79" s="635" t="e">
        <f t="shared" ref="C79:J79" si="22">C25/C14</f>
        <v>#DIV/0!</v>
      </c>
      <c r="D79" s="635"/>
      <c r="E79" s="635" t="e">
        <f t="shared" si="22"/>
        <v>#DIV/0!</v>
      </c>
      <c r="F79" s="635" t="e">
        <f t="shared" si="22"/>
        <v>#DIV/0!</v>
      </c>
      <c r="G79" s="635" t="e">
        <f t="shared" si="22"/>
        <v>#DIV/0!</v>
      </c>
      <c r="H79" s="635" t="e">
        <f t="shared" si="22"/>
        <v>#DIV/0!</v>
      </c>
      <c r="I79" s="635" t="e">
        <f t="shared" si="22"/>
        <v>#DIV/0!</v>
      </c>
      <c r="J79" s="635" t="e">
        <f t="shared" si="22"/>
        <v>#DIV/0!</v>
      </c>
    </row>
    <row r="80" spans="1:10">
      <c r="A80" s="622">
        <f>A79+1</f>
        <v>54</v>
      </c>
      <c r="B80" s="7" t="str">
        <f>"Preferred Stock Capital Cost Rate (Ln "&amp;A53&amp;" / Ln "&amp;A52&amp;")"</f>
        <v>Preferred Stock Capital Cost Rate (Ln 36 / Ln 35)</v>
      </c>
      <c r="C80" s="635">
        <f t="shared" ref="C80:J80" si="23">IF(C52=0,0,C53/C52)</f>
        <v>0</v>
      </c>
      <c r="D80" s="635"/>
      <c r="E80" s="635">
        <f t="shared" si="23"/>
        <v>0</v>
      </c>
      <c r="F80" s="635">
        <f t="shared" si="23"/>
        <v>0</v>
      </c>
      <c r="G80" s="635">
        <f t="shared" si="23"/>
        <v>0</v>
      </c>
      <c r="H80" s="635">
        <f t="shared" si="23"/>
        <v>0</v>
      </c>
      <c r="I80" s="635">
        <f t="shared" si="23"/>
        <v>0</v>
      </c>
      <c r="J80" s="635">
        <f t="shared" si="23"/>
        <v>0</v>
      </c>
    </row>
    <row r="81" spans="1:10">
      <c r="A81" s="622">
        <f>A80+1</f>
        <v>55</v>
      </c>
      <c r="B81" s="7" t="s">
        <v>536</v>
      </c>
      <c r="C81" s="635">
        <v>0.1149</v>
      </c>
      <c r="D81" s="635"/>
      <c r="E81" s="635">
        <v>0.1149</v>
      </c>
      <c r="F81" s="635">
        <v>0.1149</v>
      </c>
      <c r="G81" s="635">
        <v>0.1149</v>
      </c>
      <c r="H81" s="635">
        <v>0.1149</v>
      </c>
      <c r="I81" s="635">
        <v>0.1149</v>
      </c>
      <c r="J81" s="635">
        <v>0.1149</v>
      </c>
    </row>
    <row r="83" spans="1:10" ht="15">
      <c r="A83" s="601" t="s">
        <v>537</v>
      </c>
    </row>
    <row r="84" spans="1:10">
      <c r="A84" s="622">
        <f>A81+1</f>
        <v>56</v>
      </c>
      <c r="B84" s="7" t="str">
        <f>"LTD Weighted Capital Cost Rate (Ln "&amp;A68&amp;" * Ln "&amp;A79&amp;")"</f>
        <v>LTD Weighted Capital Cost Rate (Ln 46 * Ln 53)</v>
      </c>
      <c r="C84" s="635" t="e">
        <f>C68*C79</f>
        <v>#DIV/0!</v>
      </c>
      <c r="D84" s="635"/>
      <c r="E84" s="635" t="e">
        <f t="shared" ref="E84:J84" si="24">E68*E79</f>
        <v>#DIV/0!</v>
      </c>
      <c r="F84" s="635" t="e">
        <f t="shared" si="24"/>
        <v>#DIV/0!</v>
      </c>
      <c r="G84" s="635" t="e">
        <f t="shared" si="24"/>
        <v>#DIV/0!</v>
      </c>
      <c r="H84" s="635" t="e">
        <f t="shared" si="24"/>
        <v>#DIV/0!</v>
      </c>
      <c r="I84" s="635" t="e">
        <f t="shared" si="24"/>
        <v>#DIV/0!</v>
      </c>
      <c r="J84" s="635" t="e">
        <f t="shared" si="24"/>
        <v>#DIV/0!</v>
      </c>
    </row>
    <row r="85" spans="1:10">
      <c r="A85" s="622">
        <f>A84+1</f>
        <v>57</v>
      </c>
      <c r="B85" s="7" t="str">
        <f>"Preferred Stock Capital Cost Rate (Ln "&amp;A69&amp;" * Ln "&amp;A80&amp;")"</f>
        <v>Preferred Stock Capital Cost Rate (Ln 47 * Ln 54)</v>
      </c>
      <c r="C85" s="635" t="e">
        <f>C69*C80</f>
        <v>#DIV/0!</v>
      </c>
      <c r="D85" s="635"/>
      <c r="E85" s="635" t="e">
        <f t="shared" ref="E85:J85" si="25">E69*E80</f>
        <v>#DIV/0!</v>
      </c>
      <c r="F85" s="635" t="e">
        <f t="shared" si="25"/>
        <v>#DIV/0!</v>
      </c>
      <c r="G85" s="635" t="e">
        <f t="shared" si="25"/>
        <v>#DIV/0!</v>
      </c>
      <c r="H85" s="635" t="e">
        <f t="shared" si="25"/>
        <v>#DIV/0!</v>
      </c>
      <c r="I85" s="635" t="e">
        <f t="shared" si="25"/>
        <v>#DIV/0!</v>
      </c>
      <c r="J85" s="635" t="e">
        <f t="shared" si="25"/>
        <v>#DIV/0!</v>
      </c>
    </row>
    <row r="86" spans="1:10">
      <c r="A86" s="622">
        <f>A85+1</f>
        <v>58</v>
      </c>
      <c r="B86" s="7" t="str">
        <f>"Common Equity Capital Cost Rate (Ln "&amp;A70&amp;" * Ln "&amp;A81&amp;")"</f>
        <v>Common Equity Capital Cost Rate (Ln 48 * Ln 55)</v>
      </c>
      <c r="C86" s="638" t="e">
        <f>C70*C81</f>
        <v>#DIV/0!</v>
      </c>
      <c r="D86" s="638"/>
      <c r="E86" s="638" t="e">
        <f t="shared" ref="E86:J86" si="26">E70*E81</f>
        <v>#DIV/0!</v>
      </c>
      <c r="F86" s="638" t="e">
        <f t="shared" si="26"/>
        <v>#DIV/0!</v>
      </c>
      <c r="G86" s="638" t="e">
        <f t="shared" si="26"/>
        <v>#DIV/0!</v>
      </c>
      <c r="H86" s="638" t="e">
        <f t="shared" si="26"/>
        <v>#DIV/0!</v>
      </c>
      <c r="I86" s="638" t="e">
        <f t="shared" si="26"/>
        <v>#DIV/0!</v>
      </c>
      <c r="J86" s="638" t="e">
        <f t="shared" si="26"/>
        <v>#DIV/0!</v>
      </c>
    </row>
    <row r="87" spans="1:10">
      <c r="A87" s="622">
        <f>A86+1</f>
        <v>59</v>
      </c>
      <c r="B87" s="628" t="s">
        <v>534</v>
      </c>
      <c r="C87" s="639" t="e">
        <f t="shared" ref="C87:J87" si="27">SUM(C84:C86)</f>
        <v>#DIV/0!</v>
      </c>
      <c r="D87" s="639"/>
      <c r="E87" s="639" t="e">
        <f t="shared" si="27"/>
        <v>#DIV/0!</v>
      </c>
      <c r="F87" s="639" t="e">
        <f t="shared" si="27"/>
        <v>#DIV/0!</v>
      </c>
      <c r="G87" s="639" t="e">
        <f t="shared" si="27"/>
        <v>#DIV/0!</v>
      </c>
      <c r="H87" s="639" t="e">
        <f t="shared" si="27"/>
        <v>#DIV/0!</v>
      </c>
      <c r="I87" s="639" t="e">
        <f t="shared" si="27"/>
        <v>#DIV/0!</v>
      </c>
      <c r="J87" s="639" t="e">
        <f t="shared" si="27"/>
        <v>#DIV/0!</v>
      </c>
    </row>
    <row r="90" spans="1:10">
      <c r="A90" s="1223" t="s">
        <v>513</v>
      </c>
      <c r="B90" s="1223"/>
      <c r="C90" s="1223"/>
      <c r="D90" s="1223"/>
      <c r="E90" s="1223"/>
      <c r="F90" s="1223"/>
      <c r="G90" s="1223"/>
      <c r="H90" s="1223"/>
      <c r="I90" s="1223"/>
      <c r="J90" s="1223"/>
    </row>
    <row r="91" spans="1:10">
      <c r="A91" s="1223" t="str">
        <f>"Consolidation of Operating Companies' Capital Structure @ December 31, "&amp;TCOS!L4-1&amp;""</f>
        <v>Consolidation of Operating Companies' Capital Structure @ December 31, 2025</v>
      </c>
      <c r="B91" s="1223"/>
      <c r="C91" s="1223"/>
      <c r="D91" s="1223"/>
      <c r="E91" s="1223"/>
      <c r="F91" s="1223"/>
      <c r="G91" s="1223"/>
      <c r="H91" s="1223"/>
      <c r="I91" s="1223"/>
      <c r="J91" s="1223"/>
    </row>
    <row r="92" spans="1:10">
      <c r="A92" s="1223" t="s">
        <v>257</v>
      </c>
      <c r="B92" s="1223"/>
      <c r="C92" s="1223"/>
      <c r="D92" s="1223"/>
      <c r="E92" s="1223"/>
      <c r="F92" s="1223"/>
      <c r="G92" s="1223"/>
      <c r="H92" s="1223"/>
      <c r="I92" s="1223"/>
      <c r="J92" s="1223"/>
    </row>
    <row r="93" spans="1:10">
      <c r="B93" s="633"/>
    </row>
    <row r="94" spans="1:10" ht="76.5">
      <c r="A94" s="622" t="s">
        <v>467</v>
      </c>
      <c r="C94" s="623" t="s">
        <v>514</v>
      </c>
      <c r="D94" s="623"/>
      <c r="E94" s="623" t="s">
        <v>515</v>
      </c>
      <c r="F94" s="623" t="s">
        <v>516</v>
      </c>
      <c r="G94" s="623" t="s">
        <v>517</v>
      </c>
      <c r="H94" s="623" t="s">
        <v>518</v>
      </c>
      <c r="I94" s="623" t="s">
        <v>519</v>
      </c>
      <c r="J94" s="623" t="s">
        <v>520</v>
      </c>
    </row>
    <row r="95" spans="1:10" ht="15">
      <c r="A95" s="601" t="s">
        <v>521</v>
      </c>
    </row>
    <row r="96" spans="1:10">
      <c r="A96" s="622">
        <f>A87+1</f>
        <v>60</v>
      </c>
      <c r="B96" s="75" t="s">
        <v>346</v>
      </c>
      <c r="C96" s="602"/>
      <c r="D96" s="602"/>
      <c r="E96" s="602"/>
      <c r="F96" s="602"/>
      <c r="G96" s="602"/>
      <c r="H96" s="602"/>
      <c r="I96" s="602"/>
      <c r="J96" s="589">
        <f>SUM(C96:I96)</f>
        <v>0</v>
      </c>
    </row>
    <row r="97" spans="1:10">
      <c r="A97" s="622">
        <f>A96+1</f>
        <v>61</v>
      </c>
      <c r="B97" s="75" t="s">
        <v>347</v>
      </c>
      <c r="C97" s="602"/>
      <c r="D97" s="602"/>
      <c r="E97" s="602"/>
      <c r="F97" s="602"/>
      <c r="G97" s="602"/>
      <c r="H97" s="602"/>
      <c r="I97" s="602"/>
      <c r="J97" s="589">
        <f>SUM(C97:I97)</f>
        <v>0</v>
      </c>
    </row>
    <row r="98" spans="1:10">
      <c r="A98" s="622">
        <f>A97+1</f>
        <v>62</v>
      </c>
      <c r="B98" s="14" t="s">
        <v>23</v>
      </c>
      <c r="C98" s="602"/>
      <c r="D98" s="602"/>
      <c r="E98" s="602"/>
      <c r="F98" s="602"/>
      <c r="G98" s="602"/>
      <c r="H98" s="602"/>
      <c r="I98" s="602"/>
      <c r="J98" s="589">
        <f>SUM(C98:I98)</f>
        <v>0</v>
      </c>
    </row>
    <row r="99" spans="1:10">
      <c r="A99" s="622">
        <f>A98+1</f>
        <v>63</v>
      </c>
      <c r="B99" s="14" t="s">
        <v>17</v>
      </c>
      <c r="C99" s="602"/>
      <c r="D99" s="602"/>
      <c r="E99" s="602"/>
      <c r="F99" s="602"/>
      <c r="G99" s="602"/>
      <c r="H99" s="602"/>
      <c r="I99" s="602"/>
      <c r="J99" s="589">
        <f>SUM(C99:I99)</f>
        <v>0</v>
      </c>
    </row>
    <row r="100" spans="1:10">
      <c r="A100" s="622">
        <f>A99+1</f>
        <v>64</v>
      </c>
      <c r="B100" s="14" t="str">
        <f>"Less: Fair Value Hedges (See Note on Ln "&amp;A103&amp;" below)"</f>
        <v>Less: Fair Value Hedges (See Note on Ln 66 below)</v>
      </c>
      <c r="C100" s="118"/>
      <c r="D100" s="118"/>
      <c r="E100" s="118"/>
      <c r="F100" s="118"/>
      <c r="G100" s="118"/>
      <c r="H100" s="118"/>
      <c r="I100" s="118"/>
      <c r="J100" s="624">
        <f>SUM(C100:I100)</f>
        <v>0</v>
      </c>
    </row>
    <row r="101" spans="1:10">
      <c r="A101" s="622">
        <f>A100+1</f>
        <v>65</v>
      </c>
      <c r="B101" s="13" t="s">
        <v>67</v>
      </c>
      <c r="C101" s="625">
        <f t="shared" ref="C101:J101" si="28">C96-C97+C98+C99-C100</f>
        <v>0</v>
      </c>
      <c r="D101" s="625"/>
      <c r="E101" s="625">
        <f t="shared" si="28"/>
        <v>0</v>
      </c>
      <c r="F101" s="625">
        <f t="shared" si="28"/>
        <v>0</v>
      </c>
      <c r="G101" s="625">
        <f t="shared" si="28"/>
        <v>0</v>
      </c>
      <c r="H101" s="625">
        <f t="shared" si="28"/>
        <v>0</v>
      </c>
      <c r="I101" s="625">
        <f t="shared" si="28"/>
        <v>0</v>
      </c>
      <c r="J101" s="625">
        <f t="shared" si="28"/>
        <v>0</v>
      </c>
    </row>
    <row r="103" spans="1:10">
      <c r="A103" s="622">
        <f>A101+1</f>
        <v>66</v>
      </c>
      <c r="B103" s="1222" t="s">
        <v>66</v>
      </c>
      <c r="C103" s="1222"/>
      <c r="D103" s="1222"/>
      <c r="E103" s="1222"/>
      <c r="F103" s="1222"/>
      <c r="G103" s="1222"/>
      <c r="H103" s="1222"/>
      <c r="I103" s="1222"/>
      <c r="J103" s="1222"/>
    </row>
    <row r="104" spans="1:10">
      <c r="B104" s="626"/>
      <c r="C104" s="626"/>
      <c r="D104" s="626"/>
      <c r="E104" s="626"/>
      <c r="F104" s="626"/>
      <c r="G104" s="626"/>
      <c r="H104" s="626"/>
      <c r="I104" s="626"/>
      <c r="J104" s="626"/>
    </row>
    <row r="105" spans="1:10" ht="15">
      <c r="A105" s="601" t="s">
        <v>522</v>
      </c>
    </row>
    <row r="106" spans="1:10">
      <c r="A106" s="622">
        <f>A103+1</f>
        <v>67</v>
      </c>
      <c r="B106" s="75" t="s">
        <v>348</v>
      </c>
      <c r="C106" s="117"/>
      <c r="D106" s="117"/>
      <c r="E106" s="117"/>
      <c r="F106" s="117"/>
      <c r="G106" s="117"/>
      <c r="H106" s="117"/>
      <c r="I106" s="117"/>
      <c r="J106" s="342">
        <f t="shared" ref="J106:J111" si="29">SUM(C106:I106)</f>
        <v>0</v>
      </c>
    </row>
    <row r="107" spans="1:10">
      <c r="A107" s="622">
        <f t="shared" ref="A107:A112" si="30">A106+1</f>
        <v>68</v>
      </c>
      <c r="B107" s="75" t="s">
        <v>341</v>
      </c>
      <c r="C107" s="117"/>
      <c r="D107" s="117"/>
      <c r="E107" s="117"/>
      <c r="F107" s="117"/>
      <c r="G107" s="117"/>
      <c r="H107" s="117"/>
      <c r="I107" s="117"/>
      <c r="J107" s="342">
        <f t="shared" si="29"/>
        <v>0</v>
      </c>
    </row>
    <row r="108" spans="1:10">
      <c r="A108" s="622">
        <f t="shared" si="30"/>
        <v>69</v>
      </c>
      <c r="B108" s="75" t="s">
        <v>342</v>
      </c>
      <c r="C108" s="117"/>
      <c r="D108" s="117"/>
      <c r="E108" s="117"/>
      <c r="F108" s="117"/>
      <c r="G108" s="117"/>
      <c r="H108" s="117"/>
      <c r="I108" s="117"/>
      <c r="J108" s="342">
        <f t="shared" si="29"/>
        <v>0</v>
      </c>
    </row>
    <row r="109" spans="1:10">
      <c r="A109" s="622">
        <f t="shared" si="30"/>
        <v>70</v>
      </c>
      <c r="B109" s="75" t="s">
        <v>343</v>
      </c>
      <c r="C109" s="602"/>
      <c r="D109" s="602"/>
      <c r="E109" s="602"/>
      <c r="F109" s="602"/>
      <c r="G109" s="602"/>
      <c r="H109" s="602"/>
      <c r="I109" s="602"/>
      <c r="J109" s="589">
        <f t="shared" si="29"/>
        <v>0</v>
      </c>
    </row>
    <row r="110" spans="1:10">
      <c r="A110" s="622">
        <f t="shared" si="30"/>
        <v>71</v>
      </c>
      <c r="B110" s="75" t="s">
        <v>344</v>
      </c>
      <c r="C110" s="602"/>
      <c r="D110" s="602"/>
      <c r="E110" s="602"/>
      <c r="F110" s="602"/>
      <c r="G110" s="602"/>
      <c r="H110" s="602"/>
      <c r="I110" s="602"/>
      <c r="J110" s="589">
        <f t="shared" si="29"/>
        <v>0</v>
      </c>
    </row>
    <row r="111" spans="1:10">
      <c r="A111" s="622">
        <f t="shared" si="30"/>
        <v>72</v>
      </c>
      <c r="B111" s="627" t="s">
        <v>523</v>
      </c>
      <c r="C111" s="118"/>
      <c r="D111" s="118"/>
      <c r="E111" s="118"/>
      <c r="F111" s="118"/>
      <c r="G111" s="118"/>
      <c r="H111" s="118"/>
      <c r="I111" s="118"/>
      <c r="J111" s="624">
        <f t="shared" si="29"/>
        <v>0</v>
      </c>
    </row>
    <row r="112" spans="1:10">
      <c r="A112" s="622">
        <f t="shared" si="30"/>
        <v>73</v>
      </c>
      <c r="B112" s="628" t="s">
        <v>68</v>
      </c>
      <c r="C112" s="629">
        <f t="shared" ref="C112:J112" si="31">C106+C107+C108-C109-C110-C111</f>
        <v>0</v>
      </c>
      <c r="D112" s="629"/>
      <c r="E112" s="629">
        <f t="shared" si="31"/>
        <v>0</v>
      </c>
      <c r="F112" s="629">
        <f t="shared" si="31"/>
        <v>0</v>
      </c>
      <c r="G112" s="629">
        <f t="shared" si="31"/>
        <v>0</v>
      </c>
      <c r="H112" s="629">
        <f t="shared" si="31"/>
        <v>0</v>
      </c>
      <c r="I112" s="629">
        <f t="shared" si="31"/>
        <v>0</v>
      </c>
      <c r="J112" s="629">
        <f t="shared" si="31"/>
        <v>0</v>
      </c>
    </row>
    <row r="114" spans="1:10" ht="15">
      <c r="A114" s="601" t="s">
        <v>524</v>
      </c>
      <c r="B114" s="630"/>
      <c r="C114" s="630"/>
      <c r="D114" s="630"/>
      <c r="E114" s="630"/>
    </row>
    <row r="115" spans="1:10">
      <c r="A115" s="622">
        <f>A112+1</f>
        <v>74</v>
      </c>
      <c r="B115" s="76" t="s">
        <v>525</v>
      </c>
      <c r="C115" s="603"/>
      <c r="D115" s="646"/>
      <c r="E115" s="647"/>
      <c r="F115" s="646"/>
      <c r="G115" s="646"/>
      <c r="H115" s="603"/>
      <c r="I115" s="646"/>
      <c r="J115" s="631"/>
    </row>
    <row r="116" spans="1:10">
      <c r="A116" s="622">
        <f>A115+1</f>
        <v>75</v>
      </c>
      <c r="B116" s="76" t="s">
        <v>526</v>
      </c>
      <c r="C116" s="604"/>
      <c r="D116" s="648"/>
      <c r="E116" s="604"/>
      <c r="F116" s="648"/>
      <c r="G116" s="648"/>
      <c r="H116" s="604"/>
      <c r="I116" s="648"/>
      <c r="J116" s="632"/>
    </row>
    <row r="117" spans="1:10">
      <c r="A117" s="622">
        <f>A116+1</f>
        <v>76</v>
      </c>
      <c r="B117" s="76" t="s">
        <v>527</v>
      </c>
      <c r="C117" s="117"/>
      <c r="D117" s="649"/>
      <c r="E117" s="117"/>
      <c r="F117" s="649"/>
      <c r="G117" s="649"/>
      <c r="H117" s="117"/>
      <c r="I117" s="649"/>
    </row>
    <row r="118" spans="1:10">
      <c r="A118" s="622">
        <f>A117+1</f>
        <v>77</v>
      </c>
      <c r="B118" s="76" t="str">
        <f>"Monetary Value (Ln "&amp;A116&amp;" * Ln "&amp;A117&amp;")"</f>
        <v>Monetary Value (Ln 75 * Ln 76)</v>
      </c>
      <c r="C118" s="341">
        <f t="shared" ref="C118:I118" si="32">C116*C117</f>
        <v>0</v>
      </c>
      <c r="D118" s="341"/>
      <c r="E118" s="341">
        <f t="shared" si="32"/>
        <v>0</v>
      </c>
      <c r="F118" s="341">
        <f t="shared" si="32"/>
        <v>0</v>
      </c>
      <c r="G118" s="341">
        <f t="shared" si="32"/>
        <v>0</v>
      </c>
      <c r="H118" s="341">
        <f t="shared" si="32"/>
        <v>0</v>
      </c>
      <c r="I118" s="341">
        <f t="shared" si="32"/>
        <v>0</v>
      </c>
      <c r="J118" s="629">
        <f>SUM(C118:I118)</f>
        <v>0</v>
      </c>
    </row>
    <row r="119" spans="1:10">
      <c r="A119" s="622">
        <f>A118+1</f>
        <v>78</v>
      </c>
      <c r="B119" s="76" t="str">
        <f>"Dividend Amount (Ln "&amp;A115&amp;" * Ln "&amp;A118&amp;")"</f>
        <v>Dividend Amount (Ln 74 * Ln 77)</v>
      </c>
      <c r="C119" s="341">
        <f t="shared" ref="C119:I119" si="33">C118*C115</f>
        <v>0</v>
      </c>
      <c r="D119" s="341"/>
      <c r="E119" s="341">
        <f t="shared" si="33"/>
        <v>0</v>
      </c>
      <c r="F119" s="341">
        <f t="shared" si="33"/>
        <v>0</v>
      </c>
      <c r="G119" s="341">
        <f t="shared" si="33"/>
        <v>0</v>
      </c>
      <c r="H119" s="341">
        <f t="shared" si="33"/>
        <v>0</v>
      </c>
      <c r="I119" s="341">
        <f t="shared" si="33"/>
        <v>0</v>
      </c>
      <c r="J119" s="629">
        <f>SUM(C119:I119)</f>
        <v>0</v>
      </c>
    </row>
    <row r="121" spans="1:10">
      <c r="A121" s="622">
        <f>A119+1</f>
        <v>79</v>
      </c>
      <c r="B121" s="76" t="s">
        <v>525</v>
      </c>
      <c r="C121" s="603"/>
      <c r="D121" s="646"/>
      <c r="E121" s="647"/>
      <c r="F121" s="646"/>
      <c r="G121" s="646"/>
      <c r="H121" s="603"/>
      <c r="I121" s="646"/>
    </row>
    <row r="122" spans="1:10">
      <c r="A122" s="622">
        <f>A121+1</f>
        <v>80</v>
      </c>
      <c r="B122" s="76" t="s">
        <v>526</v>
      </c>
      <c r="C122" s="604"/>
      <c r="D122" s="648"/>
      <c r="E122" s="604"/>
      <c r="F122" s="648"/>
      <c r="G122" s="648"/>
      <c r="H122" s="604"/>
      <c r="I122" s="648"/>
    </row>
    <row r="123" spans="1:10">
      <c r="A123" s="622">
        <f>A122+1</f>
        <v>81</v>
      </c>
      <c r="B123" s="76" t="s">
        <v>527</v>
      </c>
      <c r="C123" s="117"/>
      <c r="D123" s="649"/>
      <c r="E123" s="117"/>
      <c r="F123" s="649"/>
      <c r="G123" s="649"/>
      <c r="H123" s="117"/>
      <c r="I123" s="649"/>
    </row>
    <row r="124" spans="1:10">
      <c r="A124" s="622">
        <f>A123+1</f>
        <v>82</v>
      </c>
      <c r="B124" s="76" t="str">
        <f>"Monetary Value (Ln "&amp;A122&amp;" * Ln "&amp;A123&amp;")"</f>
        <v>Monetary Value (Ln 80 * Ln 81)</v>
      </c>
      <c r="C124" s="341">
        <f t="shared" ref="C124:I124" si="34">C122*C123</f>
        <v>0</v>
      </c>
      <c r="D124" s="341"/>
      <c r="E124" s="341">
        <f t="shared" si="34"/>
        <v>0</v>
      </c>
      <c r="F124" s="341">
        <f t="shared" si="34"/>
        <v>0</v>
      </c>
      <c r="G124" s="341">
        <f t="shared" si="34"/>
        <v>0</v>
      </c>
      <c r="H124" s="341">
        <f t="shared" si="34"/>
        <v>0</v>
      </c>
      <c r="I124" s="341">
        <f t="shared" si="34"/>
        <v>0</v>
      </c>
      <c r="J124" s="629">
        <f>SUM(C124:I124)</f>
        <v>0</v>
      </c>
    </row>
    <row r="125" spans="1:10">
      <c r="A125" s="622">
        <f>A124+1</f>
        <v>83</v>
      </c>
      <c r="B125" s="76" t="str">
        <f>"Dividend Amount (Ln "&amp;A121&amp;" * Ln "&amp;A124&amp;")"</f>
        <v>Dividend Amount (Ln 79 * Ln 82)</v>
      </c>
      <c r="C125" s="341">
        <f t="shared" ref="C125:I125" si="35">C124*C121</f>
        <v>0</v>
      </c>
      <c r="D125" s="341"/>
      <c r="E125" s="341">
        <f t="shared" si="35"/>
        <v>0</v>
      </c>
      <c r="F125" s="341">
        <f t="shared" si="35"/>
        <v>0</v>
      </c>
      <c r="G125" s="341">
        <f t="shared" si="35"/>
        <v>0</v>
      </c>
      <c r="H125" s="341">
        <f t="shared" si="35"/>
        <v>0</v>
      </c>
      <c r="I125" s="341">
        <f t="shared" si="35"/>
        <v>0</v>
      </c>
      <c r="J125" s="629">
        <f>SUM(C125:I125)</f>
        <v>0</v>
      </c>
    </row>
    <row r="127" spans="1:10">
      <c r="A127" s="622">
        <f>A125+1</f>
        <v>84</v>
      </c>
      <c r="B127" s="76" t="s">
        <v>525</v>
      </c>
      <c r="C127" s="603"/>
      <c r="D127" s="646"/>
      <c r="E127" s="647"/>
      <c r="F127" s="646"/>
      <c r="G127" s="646"/>
      <c r="H127" s="603"/>
      <c r="I127" s="646"/>
    </row>
    <row r="128" spans="1:10">
      <c r="A128" s="622">
        <f>A127+1</f>
        <v>85</v>
      </c>
      <c r="B128" s="76" t="s">
        <v>526</v>
      </c>
      <c r="C128" s="604"/>
      <c r="D128" s="648"/>
      <c r="E128" s="604"/>
      <c r="F128" s="648"/>
      <c r="G128" s="648"/>
      <c r="H128" s="604"/>
      <c r="I128" s="648"/>
    </row>
    <row r="129" spans="1:10">
      <c r="A129" s="622">
        <f>A128+1</f>
        <v>86</v>
      </c>
      <c r="B129" s="76" t="s">
        <v>527</v>
      </c>
      <c r="C129" s="117"/>
      <c r="D129" s="649"/>
      <c r="E129" s="117"/>
      <c r="F129" s="649"/>
      <c r="G129" s="649"/>
      <c r="H129" s="117"/>
      <c r="I129" s="649"/>
    </row>
    <row r="130" spans="1:10">
      <c r="A130" s="622">
        <f>A129+1</f>
        <v>87</v>
      </c>
      <c r="B130" s="76" t="str">
        <f>"Monetary Value (Ln "&amp;A128&amp;" * Ln "&amp;A129&amp;")"</f>
        <v>Monetary Value (Ln 85 * Ln 86)</v>
      </c>
      <c r="C130" s="341">
        <f t="shared" ref="C130:I130" si="36">C128*C129</f>
        <v>0</v>
      </c>
      <c r="D130" s="341"/>
      <c r="E130" s="341">
        <f t="shared" si="36"/>
        <v>0</v>
      </c>
      <c r="F130" s="341">
        <f t="shared" si="36"/>
        <v>0</v>
      </c>
      <c r="G130" s="341">
        <f t="shared" si="36"/>
        <v>0</v>
      </c>
      <c r="H130" s="341">
        <f t="shared" si="36"/>
        <v>0</v>
      </c>
      <c r="I130" s="341">
        <f t="shared" si="36"/>
        <v>0</v>
      </c>
      <c r="J130" s="629">
        <f>SUM(C130:I130)</f>
        <v>0</v>
      </c>
    </row>
    <row r="131" spans="1:10">
      <c r="A131" s="622">
        <f>A130+1</f>
        <v>88</v>
      </c>
      <c r="B131" s="76" t="str">
        <f>"Dividend Amount (Ln "&amp;A127&amp;" * Ln "&amp;A130&amp;")"</f>
        <v>Dividend Amount (Ln 84 * Ln 87)</v>
      </c>
      <c r="C131" s="341">
        <f t="shared" ref="C131:I131" si="37">C130*C127</f>
        <v>0</v>
      </c>
      <c r="D131" s="341"/>
      <c r="E131" s="341">
        <f t="shared" si="37"/>
        <v>0</v>
      </c>
      <c r="F131" s="341">
        <f t="shared" si="37"/>
        <v>0</v>
      </c>
      <c r="G131" s="341">
        <f t="shared" si="37"/>
        <v>0</v>
      </c>
      <c r="H131" s="341">
        <f t="shared" si="37"/>
        <v>0</v>
      </c>
      <c r="I131" s="341">
        <f t="shared" si="37"/>
        <v>0</v>
      </c>
      <c r="J131" s="629">
        <f>SUM(C131:I131)</f>
        <v>0</v>
      </c>
    </row>
    <row r="133" spans="1:10">
      <c r="A133" s="622">
        <f>A131+1</f>
        <v>89</v>
      </c>
      <c r="B133" s="76" t="s">
        <v>525</v>
      </c>
      <c r="C133" s="603"/>
      <c r="D133" s="646"/>
      <c r="E133" s="647"/>
      <c r="F133" s="646"/>
      <c r="G133" s="646"/>
      <c r="H133" s="603"/>
      <c r="I133" s="646"/>
    </row>
    <row r="134" spans="1:10">
      <c r="A134" s="622">
        <f>A133+1</f>
        <v>90</v>
      </c>
      <c r="B134" s="76" t="s">
        <v>526</v>
      </c>
      <c r="C134" s="604"/>
      <c r="D134" s="648"/>
      <c r="E134" s="604"/>
      <c r="F134" s="648"/>
      <c r="G134" s="648"/>
      <c r="H134" s="604"/>
      <c r="I134" s="648"/>
    </row>
    <row r="135" spans="1:10">
      <c r="A135" s="622">
        <f>A134+1</f>
        <v>91</v>
      </c>
      <c r="B135" s="76" t="s">
        <v>527</v>
      </c>
      <c r="C135" s="117"/>
      <c r="D135" s="649"/>
      <c r="E135" s="117"/>
      <c r="F135" s="649"/>
      <c r="G135" s="649"/>
      <c r="H135" s="117"/>
      <c r="I135" s="649"/>
    </row>
    <row r="136" spans="1:10">
      <c r="A136" s="622">
        <f>A135+1</f>
        <v>92</v>
      </c>
      <c r="B136" s="76" t="str">
        <f>"Monetary Value (Ln "&amp;A134&amp;" * Ln "&amp;A135&amp;")"</f>
        <v>Monetary Value (Ln 90 * Ln 91)</v>
      </c>
      <c r="C136" s="341">
        <f t="shared" ref="C136:I136" si="38">C134*C135</f>
        <v>0</v>
      </c>
      <c r="D136" s="341"/>
      <c r="E136" s="341">
        <f t="shared" si="38"/>
        <v>0</v>
      </c>
      <c r="F136" s="341">
        <f t="shared" si="38"/>
        <v>0</v>
      </c>
      <c r="G136" s="341">
        <f t="shared" si="38"/>
        <v>0</v>
      </c>
      <c r="H136" s="341">
        <f t="shared" si="38"/>
        <v>0</v>
      </c>
      <c r="I136" s="341">
        <f t="shared" si="38"/>
        <v>0</v>
      </c>
      <c r="J136" s="629">
        <f>SUM(C136:I136)</f>
        <v>0</v>
      </c>
    </row>
    <row r="137" spans="1:10">
      <c r="A137" s="622">
        <f>A136+1</f>
        <v>93</v>
      </c>
      <c r="B137" s="76" t="str">
        <f>"Dividend Amount (Ln "&amp;A133&amp;" * Ln "&amp;A136&amp;")"</f>
        <v>Dividend Amount (Ln 89 * Ln 92)</v>
      </c>
      <c r="C137" s="341">
        <f t="shared" ref="C137:I137" si="39">C136*C133</f>
        <v>0</v>
      </c>
      <c r="D137" s="341"/>
      <c r="E137" s="341">
        <f t="shared" si="39"/>
        <v>0</v>
      </c>
      <c r="F137" s="341">
        <f t="shared" si="39"/>
        <v>0</v>
      </c>
      <c r="G137" s="341">
        <f t="shared" si="39"/>
        <v>0</v>
      </c>
      <c r="H137" s="341">
        <f t="shared" si="39"/>
        <v>0</v>
      </c>
      <c r="I137" s="341">
        <f t="shared" si="39"/>
        <v>0</v>
      </c>
      <c r="J137" s="629">
        <f>SUM(C137:I137)</f>
        <v>0</v>
      </c>
    </row>
    <row r="138" spans="1:10">
      <c r="B138" s="76"/>
    </row>
    <row r="139" spans="1:10">
      <c r="A139" s="622">
        <f>A137+1</f>
        <v>94</v>
      </c>
      <c r="B139" s="344" t="str">
        <f>"Preferred Stock (Lns "&amp;A118&amp;", "&amp;A124&amp;", "&amp;A130&amp;","&amp;A136&amp;")"</f>
        <v>Preferred Stock (Lns 77, 82, 87,92)</v>
      </c>
      <c r="C139" s="629">
        <f t="shared" ref="C139:I140" si="40">C118+C124+C130+C136</f>
        <v>0</v>
      </c>
      <c r="D139" s="629"/>
      <c r="E139" s="629">
        <f t="shared" si="40"/>
        <v>0</v>
      </c>
      <c r="F139" s="629">
        <f t="shared" si="40"/>
        <v>0</v>
      </c>
      <c r="G139" s="629">
        <f t="shared" si="40"/>
        <v>0</v>
      </c>
      <c r="H139" s="629">
        <f t="shared" si="40"/>
        <v>0</v>
      </c>
      <c r="I139" s="629">
        <f t="shared" si="40"/>
        <v>0</v>
      </c>
      <c r="J139" s="629">
        <f>SUM(C139:I139)</f>
        <v>0</v>
      </c>
    </row>
    <row r="140" spans="1:10">
      <c r="A140" s="622">
        <f>A139+1</f>
        <v>95</v>
      </c>
      <c r="B140" s="344" t="str">
        <f>"Preferred Dividends (Lns "&amp;A119&amp;", "&amp;A125&amp;", "&amp;A131&amp;","&amp;A137&amp;")"</f>
        <v>Preferred Dividends (Lns 78, 83, 88,93)</v>
      </c>
      <c r="C140" s="629">
        <f t="shared" si="40"/>
        <v>0</v>
      </c>
      <c r="D140" s="629"/>
      <c r="E140" s="629">
        <f t="shared" si="40"/>
        <v>0</v>
      </c>
      <c r="F140" s="629">
        <f t="shared" si="40"/>
        <v>0</v>
      </c>
      <c r="G140" s="629">
        <f t="shared" si="40"/>
        <v>0</v>
      </c>
      <c r="H140" s="629">
        <f t="shared" si="40"/>
        <v>0</v>
      </c>
      <c r="I140" s="629">
        <f t="shared" si="40"/>
        <v>0</v>
      </c>
      <c r="J140" s="629">
        <f>SUM(C140:I140)</f>
        <v>0</v>
      </c>
    </row>
    <row r="141" spans="1:10">
      <c r="B141" s="633"/>
    </row>
    <row r="142" spans="1:10" ht="15">
      <c r="A142" s="601" t="s">
        <v>528</v>
      </c>
    </row>
    <row r="143" spans="1:10">
      <c r="A143" s="622">
        <f>A140+1</f>
        <v>96</v>
      </c>
      <c r="B143" s="451" t="s">
        <v>529</v>
      </c>
      <c r="C143" s="117"/>
      <c r="D143" s="117"/>
      <c r="E143" s="117"/>
      <c r="F143" s="117"/>
      <c r="G143" s="117"/>
      <c r="H143" s="117"/>
      <c r="I143" s="117"/>
      <c r="J143" s="629">
        <f>SUM(C143:I143)</f>
        <v>0</v>
      </c>
    </row>
    <row r="144" spans="1:10">
      <c r="A144" s="622">
        <f>A143+1</f>
        <v>97</v>
      </c>
      <c r="B144" s="451" t="str">
        <f>"Less: Preferred Stock (Ln "&amp;A139&amp;" Above)"</f>
        <v>Less: Preferred Stock (Ln 94 Above)</v>
      </c>
      <c r="C144" s="342">
        <f>C139</f>
        <v>0</v>
      </c>
      <c r="D144" s="342"/>
      <c r="E144" s="342">
        <f>E139</f>
        <v>0</v>
      </c>
      <c r="F144" s="342">
        <f>F139</f>
        <v>0</v>
      </c>
      <c r="G144" s="342">
        <f>G139</f>
        <v>0</v>
      </c>
      <c r="H144" s="342">
        <f>H139</f>
        <v>0</v>
      </c>
      <c r="I144" s="342">
        <f>I139</f>
        <v>0</v>
      </c>
      <c r="J144" s="629">
        <f>SUM(C144:I144)</f>
        <v>0</v>
      </c>
    </row>
    <row r="145" spans="1:10">
      <c r="A145" s="622">
        <f>A144+1</f>
        <v>98</v>
      </c>
      <c r="B145" s="451" t="s">
        <v>530</v>
      </c>
      <c r="C145" s="602"/>
      <c r="D145" s="602"/>
      <c r="E145" s="602"/>
      <c r="F145" s="602"/>
      <c r="G145" s="602"/>
      <c r="H145" s="602"/>
      <c r="I145" s="602"/>
      <c r="J145" s="629">
        <f>SUM(C145:I145)</f>
        <v>0</v>
      </c>
    </row>
    <row r="146" spans="1:10">
      <c r="A146" s="622">
        <f>A145+1</f>
        <v>99</v>
      </c>
      <c r="B146" s="451" t="s">
        <v>531</v>
      </c>
      <c r="C146" s="118"/>
      <c r="D146" s="118"/>
      <c r="E146" s="118"/>
      <c r="F146" s="118"/>
      <c r="G146" s="118"/>
      <c r="H146" s="118"/>
      <c r="I146" s="118"/>
      <c r="J146" s="634">
        <f>SUM(C146:I146)</f>
        <v>0</v>
      </c>
    </row>
    <row r="147" spans="1:10">
      <c r="A147" s="622">
        <f>A146+1</f>
        <v>100</v>
      </c>
      <c r="B147" s="455" t="s">
        <v>532</v>
      </c>
      <c r="C147" s="589">
        <f t="shared" ref="C147:J147" si="41">C143-C144-C145-C146</f>
        <v>0</v>
      </c>
      <c r="D147" s="589"/>
      <c r="E147" s="589">
        <f t="shared" si="41"/>
        <v>0</v>
      </c>
      <c r="F147" s="589">
        <f t="shared" si="41"/>
        <v>0</v>
      </c>
      <c r="G147" s="589">
        <f t="shared" si="41"/>
        <v>0</v>
      </c>
      <c r="H147" s="589">
        <f t="shared" si="41"/>
        <v>0</v>
      </c>
      <c r="I147" s="589">
        <f t="shared" si="41"/>
        <v>0</v>
      </c>
      <c r="J147" s="589">
        <f t="shared" si="41"/>
        <v>0</v>
      </c>
    </row>
    <row r="149" spans="1:10" ht="15">
      <c r="A149" s="601" t="s">
        <v>533</v>
      </c>
    </row>
    <row r="150" spans="1:10">
      <c r="A150" s="622">
        <f>A147+1</f>
        <v>101</v>
      </c>
      <c r="B150" s="7" t="str">
        <f>"Long Term Debt (Ln "&amp;A101&amp;" Above)"</f>
        <v>Long Term Debt (Ln 65 Above)</v>
      </c>
      <c r="C150" s="629">
        <f t="shared" ref="C150:J150" si="42">C101</f>
        <v>0</v>
      </c>
      <c r="D150" s="629"/>
      <c r="E150" s="629">
        <f t="shared" si="42"/>
        <v>0</v>
      </c>
      <c r="F150" s="629">
        <f t="shared" si="42"/>
        <v>0</v>
      </c>
      <c r="G150" s="629">
        <f t="shared" si="42"/>
        <v>0</v>
      </c>
      <c r="H150" s="629">
        <f t="shared" si="42"/>
        <v>0</v>
      </c>
      <c r="I150" s="629">
        <f t="shared" si="42"/>
        <v>0</v>
      </c>
      <c r="J150" s="629">
        <f t="shared" si="42"/>
        <v>0</v>
      </c>
    </row>
    <row r="151" spans="1:10">
      <c r="A151" s="622">
        <f>A150+1</f>
        <v>102</v>
      </c>
      <c r="B151" s="7" t="str">
        <f>"Preferred Stock (Ln "&amp;A139&amp;" Above)"</f>
        <v>Preferred Stock (Ln 94 Above)</v>
      </c>
      <c r="C151" s="629">
        <f t="shared" ref="C151:J151" si="43">C139</f>
        <v>0</v>
      </c>
      <c r="D151" s="629"/>
      <c r="E151" s="629">
        <f t="shared" si="43"/>
        <v>0</v>
      </c>
      <c r="F151" s="629">
        <f t="shared" si="43"/>
        <v>0</v>
      </c>
      <c r="G151" s="629">
        <f t="shared" si="43"/>
        <v>0</v>
      </c>
      <c r="H151" s="629">
        <f t="shared" si="43"/>
        <v>0</v>
      </c>
      <c r="I151" s="629">
        <f t="shared" si="43"/>
        <v>0</v>
      </c>
      <c r="J151" s="629">
        <f t="shared" si="43"/>
        <v>0</v>
      </c>
    </row>
    <row r="152" spans="1:10">
      <c r="A152" s="622">
        <f>A151+1</f>
        <v>103</v>
      </c>
      <c r="B152" s="7" t="str">
        <f>"Common Equity (Ln "&amp;A147&amp;" Above)"</f>
        <v>Common Equity (Ln 100 Above)</v>
      </c>
      <c r="C152" s="634">
        <f t="shared" ref="C152:J152" si="44">C147</f>
        <v>0</v>
      </c>
      <c r="D152" s="634"/>
      <c r="E152" s="634">
        <f t="shared" si="44"/>
        <v>0</v>
      </c>
      <c r="F152" s="634">
        <f t="shared" si="44"/>
        <v>0</v>
      </c>
      <c r="G152" s="634">
        <f t="shared" si="44"/>
        <v>0</v>
      </c>
      <c r="H152" s="634">
        <f t="shared" si="44"/>
        <v>0</v>
      </c>
      <c r="I152" s="634">
        <f t="shared" si="44"/>
        <v>0</v>
      </c>
      <c r="J152" s="634">
        <f t="shared" si="44"/>
        <v>0</v>
      </c>
    </row>
    <row r="153" spans="1:10">
      <c r="A153" s="622">
        <f>A152+1</f>
        <v>104</v>
      </c>
      <c r="B153" s="622" t="s">
        <v>534</v>
      </c>
      <c r="C153" s="629">
        <f t="shared" ref="C153:J153" si="45">SUM(C150:C152)</f>
        <v>0</v>
      </c>
      <c r="D153" s="629"/>
      <c r="E153" s="629">
        <f t="shared" si="45"/>
        <v>0</v>
      </c>
      <c r="F153" s="629">
        <f t="shared" si="45"/>
        <v>0</v>
      </c>
      <c r="G153" s="629">
        <f t="shared" si="45"/>
        <v>0</v>
      </c>
      <c r="H153" s="629">
        <f t="shared" si="45"/>
        <v>0</v>
      </c>
      <c r="I153" s="629">
        <f t="shared" si="45"/>
        <v>0</v>
      </c>
      <c r="J153" s="629">
        <f t="shared" si="45"/>
        <v>0</v>
      </c>
    </row>
    <row r="155" spans="1:10">
      <c r="A155" s="622">
        <f>A153+1</f>
        <v>105</v>
      </c>
      <c r="B155" s="7" t="str">
        <f>"LTD Capital Shares (Ln "&amp;A150&amp;" / Ln "&amp;A153&amp;")"</f>
        <v>LTD Capital Shares (Ln 101 / Ln 104)</v>
      </c>
      <c r="C155" s="635" t="e">
        <f t="shared" ref="C155:J155" si="46">C150/C153</f>
        <v>#DIV/0!</v>
      </c>
      <c r="D155" s="635"/>
      <c r="E155" s="635" t="e">
        <f t="shared" si="46"/>
        <v>#DIV/0!</v>
      </c>
      <c r="F155" s="635" t="e">
        <f t="shared" si="46"/>
        <v>#DIV/0!</v>
      </c>
      <c r="G155" s="635" t="e">
        <f t="shared" si="46"/>
        <v>#DIV/0!</v>
      </c>
      <c r="H155" s="635" t="e">
        <f t="shared" si="46"/>
        <v>#DIV/0!</v>
      </c>
      <c r="I155" s="635" t="e">
        <f t="shared" si="46"/>
        <v>#DIV/0!</v>
      </c>
      <c r="J155" s="635" t="e">
        <f t="shared" si="46"/>
        <v>#DIV/0!</v>
      </c>
    </row>
    <row r="156" spans="1:10">
      <c r="A156" s="622">
        <f>A155+1</f>
        <v>106</v>
      </c>
      <c r="B156" s="7" t="str">
        <f>"Preferred Stock Capital Shares (Ln "&amp;A151&amp;" / Ln "&amp;A153&amp;")"</f>
        <v>Preferred Stock Capital Shares (Ln 102 / Ln 104)</v>
      </c>
      <c r="C156" s="635" t="e">
        <f t="shared" ref="C156:J156" si="47">C151/C153</f>
        <v>#DIV/0!</v>
      </c>
      <c r="D156" s="635"/>
      <c r="E156" s="635" t="e">
        <f t="shared" si="47"/>
        <v>#DIV/0!</v>
      </c>
      <c r="F156" s="635" t="e">
        <f t="shared" si="47"/>
        <v>#DIV/0!</v>
      </c>
      <c r="G156" s="635" t="e">
        <f t="shared" si="47"/>
        <v>#DIV/0!</v>
      </c>
      <c r="H156" s="635" t="e">
        <f t="shared" si="47"/>
        <v>#DIV/0!</v>
      </c>
      <c r="I156" s="635" t="e">
        <f t="shared" si="47"/>
        <v>#DIV/0!</v>
      </c>
      <c r="J156" s="635" t="e">
        <f t="shared" si="47"/>
        <v>#DIV/0!</v>
      </c>
    </row>
    <row r="157" spans="1:10">
      <c r="A157" s="622">
        <f>A156+1</f>
        <v>107</v>
      </c>
      <c r="B157" s="7" t="str">
        <f>"Common Equity Capital Shares (Ln "&amp;A152&amp;" / Ln "&amp;A153&amp;")"</f>
        <v>Common Equity Capital Shares (Ln 103 / Ln 104)</v>
      </c>
      <c r="C157" s="636" t="e">
        <f t="shared" ref="C157:J157" si="48">C152/C153</f>
        <v>#DIV/0!</v>
      </c>
      <c r="D157" s="636"/>
      <c r="E157" s="636" t="e">
        <f t="shared" si="48"/>
        <v>#DIV/0!</v>
      </c>
      <c r="F157" s="636" t="e">
        <f t="shared" si="48"/>
        <v>#DIV/0!</v>
      </c>
      <c r="G157" s="636" t="e">
        <f t="shared" si="48"/>
        <v>#DIV/0!</v>
      </c>
      <c r="H157" s="636" t="e">
        <f t="shared" si="48"/>
        <v>#DIV/0!</v>
      </c>
      <c r="I157" s="636" t="e">
        <f t="shared" si="48"/>
        <v>#DIV/0!</v>
      </c>
      <c r="J157" s="636" t="e">
        <f t="shared" si="48"/>
        <v>#DIV/0!</v>
      </c>
    </row>
    <row r="158" spans="1:10">
      <c r="B158" s="7"/>
      <c r="C158" s="636"/>
      <c r="D158" s="636"/>
      <c r="E158" s="636"/>
      <c r="F158" s="636"/>
      <c r="G158" s="636"/>
      <c r="H158" s="636"/>
      <c r="I158" s="636"/>
      <c r="J158" s="636"/>
    </row>
    <row r="159" spans="1:10">
      <c r="A159" s="622">
        <f>A157+1</f>
        <v>108</v>
      </c>
      <c r="B159" s="344" t="s">
        <v>564</v>
      </c>
      <c r="C159" s="637"/>
      <c r="D159" s="637"/>
      <c r="E159" s="637"/>
      <c r="F159" s="637"/>
      <c r="G159" s="637"/>
      <c r="H159" s="637"/>
      <c r="I159" s="637"/>
      <c r="J159" s="637"/>
    </row>
    <row r="160" spans="1:10">
      <c r="B160" s="7"/>
      <c r="C160" s="636"/>
      <c r="D160" s="636"/>
      <c r="E160" s="636"/>
      <c r="F160" s="636"/>
      <c r="G160" s="636"/>
      <c r="H160" s="636"/>
      <c r="I160" s="636"/>
      <c r="J160" s="636"/>
    </row>
    <row r="161" spans="1:10">
      <c r="A161" s="622">
        <f>A159+1</f>
        <v>109</v>
      </c>
      <c r="B161" s="344" t="s">
        <v>564</v>
      </c>
      <c r="C161" s="636"/>
      <c r="D161" s="636"/>
      <c r="E161" s="636"/>
      <c r="F161" s="636"/>
      <c r="G161" s="636"/>
      <c r="H161" s="636"/>
      <c r="I161" s="636"/>
      <c r="J161" s="636"/>
    </row>
    <row r="162" spans="1:10">
      <c r="A162" s="622">
        <f>A161+1</f>
        <v>110</v>
      </c>
      <c r="B162" s="344" t="s">
        <v>564</v>
      </c>
      <c r="C162" s="636"/>
      <c r="D162" s="636"/>
      <c r="E162" s="636"/>
      <c r="F162" s="636"/>
      <c r="G162" s="636"/>
      <c r="H162" s="636"/>
      <c r="I162" s="636"/>
      <c r="J162" s="636"/>
    </row>
    <row r="163" spans="1:10">
      <c r="A163" s="622">
        <f>A162+1</f>
        <v>111</v>
      </c>
      <c r="B163" s="344" t="s">
        <v>564</v>
      </c>
      <c r="C163" s="636"/>
      <c r="D163" s="636"/>
      <c r="E163" s="636"/>
      <c r="F163" s="636"/>
      <c r="G163" s="636"/>
      <c r="H163" s="636"/>
      <c r="I163" s="636"/>
      <c r="J163" s="636"/>
    </row>
    <row r="164" spans="1:10">
      <c r="B164" s="7"/>
      <c r="C164" s="635"/>
      <c r="D164" s="635"/>
      <c r="E164" s="635"/>
      <c r="F164" s="635"/>
      <c r="G164" s="635"/>
      <c r="H164" s="635"/>
      <c r="I164" s="635"/>
      <c r="J164" s="635"/>
    </row>
    <row r="165" spans="1:10" ht="15">
      <c r="A165" s="601" t="s">
        <v>535</v>
      </c>
    </row>
    <row r="166" spans="1:10">
      <c r="A166" s="622">
        <f>A163+1</f>
        <v>112</v>
      </c>
      <c r="B166" s="7" t="str">
        <f>"LTD Capital Cost Rate (Ln "&amp;A112&amp;" / Ln "&amp;A101&amp;")"</f>
        <v>LTD Capital Cost Rate (Ln 73 / Ln 65)</v>
      </c>
      <c r="C166" s="635" t="e">
        <f t="shared" ref="C166:J166" si="49">C112/C101</f>
        <v>#DIV/0!</v>
      </c>
      <c r="D166" s="635"/>
      <c r="E166" s="635" t="e">
        <f t="shared" si="49"/>
        <v>#DIV/0!</v>
      </c>
      <c r="F166" s="635" t="e">
        <f t="shared" si="49"/>
        <v>#DIV/0!</v>
      </c>
      <c r="G166" s="635" t="e">
        <f t="shared" si="49"/>
        <v>#DIV/0!</v>
      </c>
      <c r="H166" s="635" t="e">
        <f t="shared" si="49"/>
        <v>#DIV/0!</v>
      </c>
      <c r="I166" s="635" t="e">
        <f t="shared" si="49"/>
        <v>#DIV/0!</v>
      </c>
      <c r="J166" s="635" t="e">
        <f t="shared" si="49"/>
        <v>#DIV/0!</v>
      </c>
    </row>
    <row r="167" spans="1:10">
      <c r="A167" s="622">
        <f>A166+1</f>
        <v>113</v>
      </c>
      <c r="B167" s="7" t="str">
        <f>"Preferred Stock Capital Cost Rate (Ln "&amp;A140&amp;" / Ln "&amp;A139&amp;")"</f>
        <v>Preferred Stock Capital Cost Rate (Ln 95 / Ln 94)</v>
      </c>
      <c r="C167" s="635">
        <f t="shared" ref="C167:J167" si="50">IF(C139=0,0,C140/C139)</f>
        <v>0</v>
      </c>
      <c r="D167" s="635"/>
      <c r="E167" s="635">
        <f t="shared" si="50"/>
        <v>0</v>
      </c>
      <c r="F167" s="635">
        <f t="shared" si="50"/>
        <v>0</v>
      </c>
      <c r="G167" s="635">
        <f t="shared" si="50"/>
        <v>0</v>
      </c>
      <c r="H167" s="635">
        <f t="shared" si="50"/>
        <v>0</v>
      </c>
      <c r="I167" s="635">
        <f t="shared" si="50"/>
        <v>0</v>
      </c>
      <c r="J167" s="635">
        <f t="shared" si="50"/>
        <v>0</v>
      </c>
    </row>
    <row r="168" spans="1:10">
      <c r="A168" s="622">
        <f>A167+1</f>
        <v>114</v>
      </c>
      <c r="B168" s="7" t="s">
        <v>536</v>
      </c>
      <c r="C168" s="635">
        <v>0.1149</v>
      </c>
      <c r="D168" s="635"/>
      <c r="E168" s="635">
        <v>0.1149</v>
      </c>
      <c r="F168" s="635">
        <v>0.1149</v>
      </c>
      <c r="G168" s="635">
        <v>0.1149</v>
      </c>
      <c r="H168" s="635">
        <v>0.1149</v>
      </c>
      <c r="I168" s="635">
        <v>0.1149</v>
      </c>
      <c r="J168" s="635">
        <v>0.1149</v>
      </c>
    </row>
    <row r="170" spans="1:10" ht="15">
      <c r="A170" s="601" t="s">
        <v>537</v>
      </c>
    </row>
    <row r="171" spans="1:10">
      <c r="A171" s="622">
        <f>A168+1</f>
        <v>115</v>
      </c>
      <c r="B171" s="7" t="str">
        <f>"LTD Weighted Capital Cost Rate (Ln "&amp;A155&amp;" * Ln "&amp;A166&amp;")"</f>
        <v>LTD Weighted Capital Cost Rate (Ln 105 * Ln 112)</v>
      </c>
      <c r="C171" s="635" t="e">
        <f>C155*C166</f>
        <v>#DIV/0!</v>
      </c>
      <c r="D171" s="635"/>
      <c r="E171" s="635" t="e">
        <f t="shared" ref="E171:J171" si="51">E155*E166</f>
        <v>#DIV/0!</v>
      </c>
      <c r="F171" s="635" t="e">
        <f t="shared" si="51"/>
        <v>#DIV/0!</v>
      </c>
      <c r="G171" s="635" t="e">
        <f t="shared" si="51"/>
        <v>#DIV/0!</v>
      </c>
      <c r="H171" s="635" t="e">
        <f t="shared" si="51"/>
        <v>#DIV/0!</v>
      </c>
      <c r="I171" s="635" t="e">
        <f t="shared" si="51"/>
        <v>#DIV/0!</v>
      </c>
      <c r="J171" s="635" t="e">
        <f t="shared" si="51"/>
        <v>#DIV/0!</v>
      </c>
    </row>
    <row r="172" spans="1:10">
      <c r="A172" s="622">
        <f>A171+1</f>
        <v>116</v>
      </c>
      <c r="B172" s="7" t="str">
        <f>"Preferred Stock Capital Cost Rate (Ln "&amp;A156&amp;" * Ln "&amp;A167&amp;")"</f>
        <v>Preferred Stock Capital Cost Rate (Ln 106 * Ln 113)</v>
      </c>
      <c r="C172" s="635" t="e">
        <f>C156*C167</f>
        <v>#DIV/0!</v>
      </c>
      <c r="D172" s="635"/>
      <c r="E172" s="635" t="e">
        <f t="shared" ref="E172:J172" si="52">E156*E167</f>
        <v>#DIV/0!</v>
      </c>
      <c r="F172" s="635" t="e">
        <f t="shared" si="52"/>
        <v>#DIV/0!</v>
      </c>
      <c r="G172" s="635" t="e">
        <f t="shared" si="52"/>
        <v>#DIV/0!</v>
      </c>
      <c r="H172" s="635" t="e">
        <f t="shared" si="52"/>
        <v>#DIV/0!</v>
      </c>
      <c r="I172" s="635" t="e">
        <f t="shared" si="52"/>
        <v>#DIV/0!</v>
      </c>
      <c r="J172" s="635" t="e">
        <f t="shared" si="52"/>
        <v>#DIV/0!</v>
      </c>
    </row>
    <row r="173" spans="1:10">
      <c r="A173" s="622">
        <f>A172+1</f>
        <v>117</v>
      </c>
      <c r="B173" s="7" t="str">
        <f>"Common Equity Capital Cost Rate (Ln "&amp;A157&amp;" * Ln "&amp;A168&amp;")"</f>
        <v>Common Equity Capital Cost Rate (Ln 107 * Ln 114)</v>
      </c>
      <c r="C173" s="638" t="e">
        <f>C157*C168</f>
        <v>#DIV/0!</v>
      </c>
      <c r="D173" s="638"/>
      <c r="E173" s="638" t="e">
        <f t="shared" ref="E173:J173" si="53">E157*E168</f>
        <v>#DIV/0!</v>
      </c>
      <c r="F173" s="638" t="e">
        <f t="shared" si="53"/>
        <v>#DIV/0!</v>
      </c>
      <c r="G173" s="638" t="e">
        <f t="shared" si="53"/>
        <v>#DIV/0!</v>
      </c>
      <c r="H173" s="638" t="e">
        <f t="shared" si="53"/>
        <v>#DIV/0!</v>
      </c>
      <c r="I173" s="638" t="e">
        <f t="shared" si="53"/>
        <v>#DIV/0!</v>
      </c>
      <c r="J173" s="638" t="e">
        <f t="shared" si="53"/>
        <v>#DIV/0!</v>
      </c>
    </row>
    <row r="174" spans="1:10">
      <c r="A174" s="622">
        <f>A173+1</f>
        <v>118</v>
      </c>
      <c r="B174" s="628" t="s">
        <v>534</v>
      </c>
      <c r="C174" s="639" t="e">
        <f t="shared" ref="C174:J174" si="54">SUM(C171:C173)</f>
        <v>#DIV/0!</v>
      </c>
      <c r="D174" s="639"/>
      <c r="E174" s="639" t="e">
        <f t="shared" si="54"/>
        <v>#DIV/0!</v>
      </c>
      <c r="F174" s="639" t="e">
        <f t="shared" si="54"/>
        <v>#DIV/0!</v>
      </c>
      <c r="G174" s="639" t="e">
        <f t="shared" si="54"/>
        <v>#DIV/0!</v>
      </c>
      <c r="H174" s="639" t="e">
        <f t="shared" si="54"/>
        <v>#DIV/0!</v>
      </c>
      <c r="I174" s="639" t="e">
        <f t="shared" si="54"/>
        <v>#DIV/0!</v>
      </c>
      <c r="J174" s="639" t="e">
        <f t="shared" si="54"/>
        <v>#DIV/0!</v>
      </c>
    </row>
    <row r="177" spans="1:10">
      <c r="A177" s="1223" t="s">
        <v>513</v>
      </c>
      <c r="B177" s="1223"/>
      <c r="C177" s="1223"/>
      <c r="D177" s="1223"/>
      <c r="E177" s="1223"/>
      <c r="F177" s="1223"/>
      <c r="G177" s="1223"/>
      <c r="H177" s="1223"/>
      <c r="I177" s="1223"/>
      <c r="J177" s="1223"/>
    </row>
    <row r="178" spans="1:10">
      <c r="A178" s="1223" t="s">
        <v>538</v>
      </c>
      <c r="B178" s="1223"/>
      <c r="C178" s="1223"/>
      <c r="D178" s="1223"/>
      <c r="E178" s="1223"/>
      <c r="F178" s="1223"/>
      <c r="G178" s="1223"/>
      <c r="H178" s="1223"/>
      <c r="I178" s="1223"/>
      <c r="J178" s="1223"/>
    </row>
    <row r="179" spans="1:10">
      <c r="A179" s="1223" t="s">
        <v>258</v>
      </c>
      <c r="B179" s="1223"/>
      <c r="C179" s="1223"/>
      <c r="D179" s="1223"/>
      <c r="E179" s="1223"/>
      <c r="F179" s="1223"/>
      <c r="G179" s="1223"/>
      <c r="H179" s="1223"/>
      <c r="I179" s="1223"/>
      <c r="J179" s="1223"/>
    </row>
    <row r="181" spans="1:10" ht="76.5">
      <c r="A181" s="622" t="s">
        <v>467</v>
      </c>
      <c r="C181" s="623" t="s">
        <v>514</v>
      </c>
      <c r="D181" s="623"/>
      <c r="E181" s="623" t="s">
        <v>515</v>
      </c>
      <c r="F181" s="623" t="s">
        <v>516</v>
      </c>
      <c r="G181" s="623" t="s">
        <v>517</v>
      </c>
      <c r="H181" s="623" t="s">
        <v>518</v>
      </c>
      <c r="I181" s="623" t="s">
        <v>519</v>
      </c>
      <c r="J181" s="623" t="s">
        <v>520</v>
      </c>
    </row>
    <row r="182" spans="1:10" ht="15">
      <c r="A182" s="601" t="s">
        <v>539</v>
      </c>
    </row>
    <row r="183" spans="1:10">
      <c r="A183" s="622">
        <f>A174+1</f>
        <v>119</v>
      </c>
      <c r="B183" s="75" t="str">
        <f>"Average Bonds (Ln "&amp;A9&amp;" + Ln "&amp;A96&amp;") / 2"</f>
        <v>Average Bonds (Ln 1 + Ln 60) / 2</v>
      </c>
      <c r="C183" s="589" t="e">
        <f t="shared" ref="C183:I187" si="55">AVERAGE(C9,C96)</f>
        <v>#DIV/0!</v>
      </c>
      <c r="D183" s="589"/>
      <c r="E183" s="589" t="e">
        <f t="shared" si="55"/>
        <v>#DIV/0!</v>
      </c>
      <c r="F183" s="589" t="e">
        <f t="shared" si="55"/>
        <v>#DIV/0!</v>
      </c>
      <c r="G183" s="589" t="e">
        <f t="shared" si="55"/>
        <v>#DIV/0!</v>
      </c>
      <c r="H183" s="589" t="e">
        <f t="shared" si="55"/>
        <v>#DIV/0!</v>
      </c>
      <c r="I183" s="589" t="e">
        <f t="shared" si="55"/>
        <v>#DIV/0!</v>
      </c>
      <c r="J183" s="589" t="e">
        <f>SUM(C183:I183)</f>
        <v>#DIV/0!</v>
      </c>
    </row>
    <row r="184" spans="1:10">
      <c r="A184" s="622">
        <f>A183+1</f>
        <v>120</v>
      </c>
      <c r="B184" s="75" t="str">
        <f>"Less: Average Reacquired Bonds (Ln "&amp;A10&amp;" + Ln "&amp;A97&amp;") / 2"</f>
        <v>Less: Average Reacquired Bonds (Ln 2 + Ln 61) / 2</v>
      </c>
      <c r="C184" s="589" t="e">
        <f t="shared" si="55"/>
        <v>#DIV/0!</v>
      </c>
      <c r="D184" s="589"/>
      <c r="E184" s="589" t="e">
        <f t="shared" si="55"/>
        <v>#DIV/0!</v>
      </c>
      <c r="F184" s="589" t="e">
        <f t="shared" si="55"/>
        <v>#DIV/0!</v>
      </c>
      <c r="G184" s="589" t="e">
        <f t="shared" si="55"/>
        <v>#DIV/0!</v>
      </c>
      <c r="H184" s="589" t="e">
        <f t="shared" si="55"/>
        <v>#DIV/0!</v>
      </c>
      <c r="I184" s="589" t="e">
        <f t="shared" si="55"/>
        <v>#DIV/0!</v>
      </c>
      <c r="J184" s="589" t="e">
        <f>SUM(C184:I184)</f>
        <v>#DIV/0!</v>
      </c>
    </row>
    <row r="185" spans="1:10">
      <c r="A185" s="622">
        <f>A184+1</f>
        <v>121</v>
      </c>
      <c r="B185" s="14" t="str">
        <f>"Average LT Advances from Assoc. Companies (Ln "&amp;A11&amp;" + Ln "&amp;A98&amp;") / 2"</f>
        <v>Average LT Advances from Assoc. Companies (Ln 3 + Ln 62) / 2</v>
      </c>
      <c r="C185" s="589" t="e">
        <f t="shared" si="55"/>
        <v>#DIV/0!</v>
      </c>
      <c r="D185" s="589"/>
      <c r="E185" s="589" t="e">
        <f t="shared" si="55"/>
        <v>#DIV/0!</v>
      </c>
      <c r="F185" s="589" t="e">
        <f t="shared" si="55"/>
        <v>#DIV/0!</v>
      </c>
      <c r="G185" s="589" t="e">
        <f t="shared" si="55"/>
        <v>#DIV/0!</v>
      </c>
      <c r="H185" s="589" t="e">
        <f t="shared" si="55"/>
        <v>#DIV/0!</v>
      </c>
      <c r="I185" s="589" t="e">
        <f t="shared" si="55"/>
        <v>#DIV/0!</v>
      </c>
      <c r="J185" s="589" t="e">
        <f>SUM(C185:I185)</f>
        <v>#DIV/0!</v>
      </c>
    </row>
    <row r="186" spans="1:10">
      <c r="A186" s="622">
        <f>A185+1</f>
        <v>122</v>
      </c>
      <c r="B186" s="14" t="str">
        <f>"Average Senior Unsecured Notes (Ln "&amp;A12&amp;" + Ln "&amp;A99&amp;") / 2"</f>
        <v>Average Senior Unsecured Notes (Ln 4 + Ln 63) / 2</v>
      </c>
      <c r="C186" s="589" t="e">
        <f t="shared" si="55"/>
        <v>#DIV/0!</v>
      </c>
      <c r="D186" s="589"/>
      <c r="E186" s="589" t="e">
        <f t="shared" si="55"/>
        <v>#DIV/0!</v>
      </c>
      <c r="F186" s="589" t="e">
        <f t="shared" si="55"/>
        <v>#DIV/0!</v>
      </c>
      <c r="G186" s="589" t="e">
        <f t="shared" si="55"/>
        <v>#DIV/0!</v>
      </c>
      <c r="H186" s="589" t="e">
        <f t="shared" si="55"/>
        <v>#DIV/0!</v>
      </c>
      <c r="I186" s="589" t="e">
        <f t="shared" si="55"/>
        <v>#DIV/0!</v>
      </c>
      <c r="J186" s="589" t="e">
        <f>SUM(C186:I186)</f>
        <v>#DIV/0!</v>
      </c>
    </row>
    <row r="187" spans="1:10">
      <c r="A187" s="622">
        <f>A186+1</f>
        <v>123</v>
      </c>
      <c r="B187" s="14" t="str">
        <f>"Less: Average Fair Value Hedges (See Note on Ln "&amp;A190&amp;" below)"</f>
        <v>Less: Average Fair Value Hedges (See Note on Ln 125 below)</v>
      </c>
      <c r="C187" s="640" t="e">
        <f t="shared" si="55"/>
        <v>#DIV/0!</v>
      </c>
      <c r="D187" s="640"/>
      <c r="E187" s="640" t="e">
        <f t="shared" si="55"/>
        <v>#DIV/0!</v>
      </c>
      <c r="F187" s="640" t="e">
        <f t="shared" si="55"/>
        <v>#DIV/0!</v>
      </c>
      <c r="G187" s="640" t="e">
        <f t="shared" si="55"/>
        <v>#DIV/0!</v>
      </c>
      <c r="H187" s="640" t="e">
        <f t="shared" si="55"/>
        <v>#DIV/0!</v>
      </c>
      <c r="I187" s="640" t="e">
        <f t="shared" si="55"/>
        <v>#DIV/0!</v>
      </c>
      <c r="J187" s="624" t="e">
        <f>SUM(C187:I187)</f>
        <v>#DIV/0!</v>
      </c>
    </row>
    <row r="188" spans="1:10">
      <c r="A188" s="622">
        <f>A187+1</f>
        <v>124</v>
      </c>
      <c r="B188" s="13" t="s">
        <v>540</v>
      </c>
      <c r="C188" s="625" t="e">
        <f t="shared" ref="C188:J188" si="56">C183-C184+C185+C186-C187</f>
        <v>#DIV/0!</v>
      </c>
      <c r="D188" s="625"/>
      <c r="E188" s="625" t="e">
        <f t="shared" si="56"/>
        <v>#DIV/0!</v>
      </c>
      <c r="F188" s="625" t="e">
        <f t="shared" si="56"/>
        <v>#DIV/0!</v>
      </c>
      <c r="G188" s="625" t="e">
        <f t="shared" si="56"/>
        <v>#DIV/0!</v>
      </c>
      <c r="H188" s="625" t="e">
        <f t="shared" si="56"/>
        <v>#DIV/0!</v>
      </c>
      <c r="I188" s="625" t="e">
        <f t="shared" si="56"/>
        <v>#DIV/0!</v>
      </c>
      <c r="J188" s="625" t="e">
        <f t="shared" si="56"/>
        <v>#DIV/0!</v>
      </c>
    </row>
    <row r="190" spans="1:10">
      <c r="A190" s="622">
        <f>A188+1</f>
        <v>125</v>
      </c>
      <c r="B190" s="1222" t="s">
        <v>65</v>
      </c>
      <c r="C190" s="1222"/>
      <c r="D190" s="1222"/>
      <c r="E190" s="1222"/>
      <c r="F190" s="1222"/>
      <c r="G190" s="1222"/>
      <c r="H190" s="1222"/>
      <c r="I190" s="1222"/>
      <c r="J190" s="1222"/>
    </row>
    <row r="191" spans="1:10">
      <c r="A191" s="641"/>
      <c r="B191" s="626"/>
      <c r="C191" s="626"/>
      <c r="D191" s="626"/>
      <c r="E191" s="626"/>
      <c r="F191" s="626"/>
      <c r="G191" s="626"/>
      <c r="H191" s="626"/>
      <c r="I191" s="626"/>
      <c r="J191" s="626"/>
    </row>
    <row r="192" spans="1:10" ht="15">
      <c r="A192" s="601" t="str">
        <f>"Development of "&amp;TCOS!O3&amp;" Long Term Debt Interest Expense"</f>
        <v>Development of   Long Term Debt Interest Expense</v>
      </c>
    </row>
    <row r="193" spans="1:10">
      <c r="A193" s="622">
        <f>A190+1</f>
        <v>126</v>
      </c>
      <c r="B193" s="14" t="str">
        <f t="shared" ref="B193:I193" si="57">B19</f>
        <v>Interest on Long Term Debt (256-257.33.i)</v>
      </c>
      <c r="C193" s="342">
        <f t="shared" si="57"/>
        <v>0</v>
      </c>
      <c r="D193" s="342"/>
      <c r="E193" s="342">
        <f t="shared" si="57"/>
        <v>0</v>
      </c>
      <c r="F193" s="342">
        <f t="shared" si="57"/>
        <v>0</v>
      </c>
      <c r="G193" s="342">
        <f t="shared" si="57"/>
        <v>0</v>
      </c>
      <c r="H193" s="342">
        <f t="shared" si="57"/>
        <v>0</v>
      </c>
      <c r="I193" s="342">
        <f t="shared" si="57"/>
        <v>0</v>
      </c>
      <c r="J193" s="342">
        <f t="shared" ref="J193:J198" si="58">SUM(C193:I193)</f>
        <v>0</v>
      </c>
    </row>
    <row r="194" spans="1:10">
      <c r="A194" s="622">
        <f t="shared" ref="A194:A199" si="59">A193+1</f>
        <v>127</v>
      </c>
      <c r="B194" s="14" t="str">
        <f t="shared" ref="B194:C198" si="60">B20</f>
        <v>Amort of Debt Discount &amp; Expense (117.63.c)</v>
      </c>
      <c r="C194" s="342">
        <f>C20</f>
        <v>0</v>
      </c>
      <c r="D194" s="342"/>
      <c r="E194" s="342">
        <f t="shared" ref="E194:I195" si="61">E20</f>
        <v>0</v>
      </c>
      <c r="F194" s="342">
        <f t="shared" si="61"/>
        <v>0</v>
      </c>
      <c r="G194" s="342">
        <f t="shared" si="61"/>
        <v>0</v>
      </c>
      <c r="H194" s="342">
        <f t="shared" si="61"/>
        <v>0</v>
      </c>
      <c r="I194" s="342">
        <f t="shared" si="61"/>
        <v>0</v>
      </c>
      <c r="J194" s="342">
        <f t="shared" si="58"/>
        <v>0</v>
      </c>
    </row>
    <row r="195" spans="1:10">
      <c r="A195" s="622">
        <f t="shared" si="59"/>
        <v>128</v>
      </c>
      <c r="B195" s="14" t="str">
        <f t="shared" si="60"/>
        <v>Amort of Loss on Reacquired Debt (117.64.c)</v>
      </c>
      <c r="C195" s="342">
        <f t="shared" si="60"/>
        <v>0</v>
      </c>
      <c r="D195" s="342"/>
      <c r="E195" s="342">
        <f t="shared" si="61"/>
        <v>0</v>
      </c>
      <c r="F195" s="342">
        <f t="shared" si="61"/>
        <v>0</v>
      </c>
      <c r="G195" s="342">
        <f t="shared" si="61"/>
        <v>0</v>
      </c>
      <c r="H195" s="342">
        <f t="shared" si="61"/>
        <v>0</v>
      </c>
      <c r="I195" s="342">
        <f t="shared" si="61"/>
        <v>0</v>
      </c>
      <c r="J195" s="342">
        <f t="shared" si="58"/>
        <v>0</v>
      </c>
    </row>
    <row r="196" spans="1:10">
      <c r="A196" s="622">
        <f t="shared" si="59"/>
        <v>129</v>
      </c>
      <c r="B196" s="14" t="str">
        <f>B22</f>
        <v>Less: Amort of Premium on Debt (117.65.c)</v>
      </c>
      <c r="C196" s="342">
        <f t="shared" ref="C196:I196" si="62">C22</f>
        <v>0</v>
      </c>
      <c r="D196" s="342"/>
      <c r="E196" s="342">
        <f t="shared" si="62"/>
        <v>0</v>
      </c>
      <c r="F196" s="342">
        <f t="shared" si="62"/>
        <v>0</v>
      </c>
      <c r="G196" s="342">
        <f t="shared" si="62"/>
        <v>0</v>
      </c>
      <c r="H196" s="342">
        <f t="shared" si="62"/>
        <v>0</v>
      </c>
      <c r="I196" s="342">
        <f t="shared" si="62"/>
        <v>0</v>
      </c>
      <c r="J196" s="589">
        <f t="shared" si="58"/>
        <v>0</v>
      </c>
    </row>
    <row r="197" spans="1:10">
      <c r="A197" s="622">
        <f t="shared" si="59"/>
        <v>130</v>
      </c>
      <c r="B197" s="14" t="str">
        <f t="shared" si="60"/>
        <v>Less: Amort of Gain on Reacquired Debt (117.66.c)</v>
      </c>
      <c r="C197" s="342">
        <f>C23</f>
        <v>0</v>
      </c>
      <c r="D197" s="342"/>
      <c r="E197" s="342">
        <f t="shared" ref="E197:I198" si="63">E23</f>
        <v>0</v>
      </c>
      <c r="F197" s="342">
        <f t="shared" si="63"/>
        <v>0</v>
      </c>
      <c r="G197" s="342">
        <f t="shared" si="63"/>
        <v>0</v>
      </c>
      <c r="H197" s="342">
        <f t="shared" si="63"/>
        <v>0</v>
      </c>
      <c r="I197" s="342">
        <f t="shared" si="63"/>
        <v>0</v>
      </c>
      <c r="J197" s="589">
        <f t="shared" si="58"/>
        <v>0</v>
      </c>
    </row>
    <row r="198" spans="1:10">
      <c r="A198" s="622">
        <f t="shared" si="59"/>
        <v>131</v>
      </c>
      <c r="B198" s="14" t="str">
        <f t="shared" si="60"/>
        <v>Less: Hedge Interest on pp 256-257(i)</v>
      </c>
      <c r="C198" s="640">
        <f>C24</f>
        <v>0</v>
      </c>
      <c r="D198" s="640"/>
      <c r="E198" s="640">
        <f t="shared" si="63"/>
        <v>0</v>
      </c>
      <c r="F198" s="640">
        <f t="shared" si="63"/>
        <v>0</v>
      </c>
      <c r="G198" s="640">
        <f t="shared" si="63"/>
        <v>0</v>
      </c>
      <c r="H198" s="640">
        <f t="shared" si="63"/>
        <v>0</v>
      </c>
      <c r="I198" s="640">
        <f t="shared" si="63"/>
        <v>0</v>
      </c>
      <c r="J198" s="624">
        <f t="shared" si="58"/>
        <v>0</v>
      </c>
    </row>
    <row r="199" spans="1:10">
      <c r="A199" s="622">
        <f t="shared" si="59"/>
        <v>132</v>
      </c>
      <c r="B199" s="642" t="str">
        <f>""&amp;TCOS!O3&amp;" LTD Interest Expense"</f>
        <v xml:space="preserve">  LTD Interest Expense</v>
      </c>
      <c r="C199" s="629">
        <f t="shared" ref="C199:J199" si="64">C193+C194+C195-C196-C197-C198</f>
        <v>0</v>
      </c>
      <c r="D199" s="629"/>
      <c r="E199" s="629">
        <f t="shared" si="64"/>
        <v>0</v>
      </c>
      <c r="F199" s="629">
        <f t="shared" si="64"/>
        <v>0</v>
      </c>
      <c r="G199" s="629">
        <f t="shared" si="64"/>
        <v>0</v>
      </c>
      <c r="H199" s="629">
        <f t="shared" si="64"/>
        <v>0</v>
      </c>
      <c r="I199" s="629">
        <f t="shared" si="64"/>
        <v>0</v>
      </c>
      <c r="J199" s="629">
        <f t="shared" si="64"/>
        <v>0</v>
      </c>
    </row>
    <row r="201" spans="1:10" ht="15">
      <c r="A201" s="601" t="str">
        <f>""&amp;TCOS!O3&amp;" Cost of Preferred Stock and Preferred Dividends"</f>
        <v xml:space="preserve">  Cost of Preferred Stock and Preferred Dividends</v>
      </c>
      <c r="B201" s="630"/>
      <c r="C201" s="630"/>
      <c r="D201" s="630"/>
      <c r="E201" s="630"/>
    </row>
    <row r="202" spans="1:10">
      <c r="A202" s="622">
        <f>A199+1</f>
        <v>133</v>
      </c>
      <c r="B202" s="7" t="str">
        <f>"Average Balance of Preferred Stock (Ln "&amp;A52&amp;" + Ln "&amp;A139&amp;") / 2"</f>
        <v>Average Balance of Preferred Stock (Ln 35 + Ln 94) / 2</v>
      </c>
      <c r="C202" s="629">
        <f>AVERAGE(C52,C139)</f>
        <v>0</v>
      </c>
      <c r="D202" s="629"/>
      <c r="E202" s="629">
        <f t="shared" ref="E202:J202" si="65">AVERAGE(E52,E139)</f>
        <v>0</v>
      </c>
      <c r="F202" s="629">
        <f t="shared" si="65"/>
        <v>0</v>
      </c>
      <c r="G202" s="629">
        <f t="shared" si="65"/>
        <v>0</v>
      </c>
      <c r="H202" s="629">
        <f t="shared" si="65"/>
        <v>0</v>
      </c>
      <c r="I202" s="629">
        <f t="shared" si="65"/>
        <v>0</v>
      </c>
      <c r="J202" s="629">
        <f t="shared" si="65"/>
        <v>0</v>
      </c>
    </row>
    <row r="203" spans="1:10">
      <c r="A203" s="622">
        <f>A202+1</f>
        <v>134</v>
      </c>
      <c r="B203" s="7" t="str">
        <f>""&amp;TCOS!O3&amp;" Preferred Dividends (Ln "&amp;A53&amp;")"</f>
        <v xml:space="preserve">  Preferred Dividends (Ln 36)</v>
      </c>
      <c r="C203" s="629">
        <f>C53</f>
        <v>0</v>
      </c>
      <c r="D203" s="629"/>
      <c r="E203" s="629">
        <f t="shared" ref="E203:J203" si="66">E53</f>
        <v>0</v>
      </c>
      <c r="F203" s="629">
        <f t="shared" si="66"/>
        <v>0</v>
      </c>
      <c r="G203" s="629">
        <f t="shared" si="66"/>
        <v>0</v>
      </c>
      <c r="H203" s="629">
        <f t="shared" si="66"/>
        <v>0</v>
      </c>
      <c r="I203" s="629">
        <f t="shared" si="66"/>
        <v>0</v>
      </c>
      <c r="J203" s="629">
        <f t="shared" si="66"/>
        <v>0</v>
      </c>
    </row>
    <row r="204" spans="1:10">
      <c r="B204" s="641"/>
    </row>
    <row r="205" spans="1:10" ht="15">
      <c r="A205" s="601" t="s">
        <v>541</v>
      </c>
    </row>
    <row r="206" spans="1:10">
      <c r="A206" s="622">
        <f>A203+1</f>
        <v>135</v>
      </c>
      <c r="B206" s="451" t="str">
        <f>"Average Proprietary Capital (Ln "&amp;A56&amp;" + Ln "&amp;A143&amp;") / 2"</f>
        <v>Average Proprietary Capital (Ln 37 + Ln 96) / 2</v>
      </c>
      <c r="C206" s="342" t="e">
        <f t="shared" ref="C206:I206" si="67">AVERAGE(C56,C143)</f>
        <v>#DIV/0!</v>
      </c>
      <c r="D206" s="342"/>
      <c r="E206" s="342" t="e">
        <f t="shared" si="67"/>
        <v>#DIV/0!</v>
      </c>
      <c r="F206" s="342" t="e">
        <f t="shared" si="67"/>
        <v>#DIV/0!</v>
      </c>
      <c r="G206" s="342" t="e">
        <f t="shared" si="67"/>
        <v>#DIV/0!</v>
      </c>
      <c r="H206" s="342" t="e">
        <f t="shared" si="67"/>
        <v>#DIV/0!</v>
      </c>
      <c r="I206" s="342" t="e">
        <f t="shared" si="67"/>
        <v>#DIV/0!</v>
      </c>
      <c r="J206" s="629" t="e">
        <f>SUM(C206:I206)</f>
        <v>#DIV/0!</v>
      </c>
    </row>
    <row r="207" spans="1:10">
      <c r="A207" s="622">
        <f>A206+1</f>
        <v>136</v>
      </c>
      <c r="B207" s="451" t="str">
        <f>"Less: Average Preferred Stock (Ln "&amp;A202&amp;" Above)"</f>
        <v>Less: Average Preferred Stock (Ln 133 Above)</v>
      </c>
      <c r="C207" s="342">
        <f t="shared" ref="C207:H207" si="68">C202</f>
        <v>0</v>
      </c>
      <c r="D207" s="342"/>
      <c r="E207" s="342">
        <f t="shared" si="68"/>
        <v>0</v>
      </c>
      <c r="F207" s="342">
        <f t="shared" si="68"/>
        <v>0</v>
      </c>
      <c r="G207" s="342">
        <f t="shared" si="68"/>
        <v>0</v>
      </c>
      <c r="H207" s="342">
        <f t="shared" si="68"/>
        <v>0</v>
      </c>
      <c r="I207" s="342">
        <f>I202</f>
        <v>0</v>
      </c>
      <c r="J207" s="629">
        <f>SUM(C207:I207)</f>
        <v>0</v>
      </c>
    </row>
    <row r="208" spans="1:10">
      <c r="A208" s="622">
        <f>A207+1</f>
        <v>137</v>
      </c>
      <c r="B208" s="451" t="str">
        <f>"Less: Average Account 216.1 (Ln "&amp;A58&amp;" + Ln "&amp;A145&amp;") / 2"</f>
        <v>Less: Average Account 216.1 (Ln 39 + Ln 98) / 2</v>
      </c>
      <c r="C208" s="342" t="e">
        <f t="shared" ref="C208:I209" si="69">AVERAGE(C58,C145)</f>
        <v>#DIV/0!</v>
      </c>
      <c r="D208" s="342"/>
      <c r="E208" s="342" t="e">
        <f t="shared" si="69"/>
        <v>#DIV/0!</v>
      </c>
      <c r="F208" s="342" t="e">
        <f t="shared" si="69"/>
        <v>#DIV/0!</v>
      </c>
      <c r="G208" s="342" t="e">
        <f t="shared" si="69"/>
        <v>#DIV/0!</v>
      </c>
      <c r="H208" s="342" t="e">
        <f t="shared" si="69"/>
        <v>#DIV/0!</v>
      </c>
      <c r="I208" s="342" t="e">
        <f t="shared" si="69"/>
        <v>#DIV/0!</v>
      </c>
      <c r="J208" s="629" t="e">
        <f>SUM(C208:I208)</f>
        <v>#DIV/0!</v>
      </c>
    </row>
    <row r="209" spans="1:12">
      <c r="A209" s="622">
        <f>A208+1</f>
        <v>138</v>
      </c>
      <c r="B209" s="451" t="str">
        <f>"Less: Average Account 219.1 (Ln "&amp;A59&amp;" + Ln "&amp;A146&amp;") / 2"</f>
        <v>Less: Average Account 219.1 (Ln 40 + Ln 99) / 2</v>
      </c>
      <c r="C209" s="640" t="e">
        <f t="shared" si="69"/>
        <v>#DIV/0!</v>
      </c>
      <c r="D209" s="640"/>
      <c r="E209" s="640" t="e">
        <f t="shared" si="69"/>
        <v>#DIV/0!</v>
      </c>
      <c r="F209" s="640" t="e">
        <f t="shared" si="69"/>
        <v>#DIV/0!</v>
      </c>
      <c r="G209" s="640" t="e">
        <f t="shared" si="69"/>
        <v>#DIV/0!</v>
      </c>
      <c r="H209" s="640" t="e">
        <f t="shared" si="69"/>
        <v>#DIV/0!</v>
      </c>
      <c r="I209" s="640" t="e">
        <f t="shared" si="69"/>
        <v>#DIV/0!</v>
      </c>
      <c r="J209" s="634" t="e">
        <f>SUM(C209:I209)</f>
        <v>#DIV/0!</v>
      </c>
    </row>
    <row r="210" spans="1:12">
      <c r="A210" s="622">
        <f>A209+1</f>
        <v>139</v>
      </c>
      <c r="B210" s="455" t="s">
        <v>339</v>
      </c>
      <c r="C210" s="589" t="e">
        <f t="shared" ref="C210:J210" si="70">C206-C207-C208-C209</f>
        <v>#DIV/0!</v>
      </c>
      <c r="D210" s="589"/>
      <c r="E210" s="589" t="e">
        <f t="shared" si="70"/>
        <v>#DIV/0!</v>
      </c>
      <c r="F210" s="589" t="e">
        <f t="shared" si="70"/>
        <v>#DIV/0!</v>
      </c>
      <c r="G210" s="589" t="e">
        <f t="shared" si="70"/>
        <v>#DIV/0!</v>
      </c>
      <c r="H210" s="589" t="e">
        <f t="shared" si="70"/>
        <v>#DIV/0!</v>
      </c>
      <c r="I210" s="589" t="e">
        <f t="shared" si="70"/>
        <v>#DIV/0!</v>
      </c>
      <c r="J210" s="589" t="e">
        <f t="shared" si="70"/>
        <v>#DIV/0!</v>
      </c>
    </row>
    <row r="212" spans="1:12" ht="15">
      <c r="A212" s="601" t="s">
        <v>533</v>
      </c>
    </row>
    <row r="213" spans="1:12">
      <c r="A213" s="622">
        <f>A210+1</f>
        <v>140</v>
      </c>
      <c r="B213" s="7" t="str">
        <f>"Average Balance of Long Term Debt (Ln "&amp;A188&amp;" Above)"</f>
        <v>Average Balance of Long Term Debt (Ln 124 Above)</v>
      </c>
      <c r="C213" s="629" t="e">
        <f t="shared" ref="C213:J213" si="71">C188</f>
        <v>#DIV/0!</v>
      </c>
      <c r="D213" s="629"/>
      <c r="E213" s="629" t="e">
        <f t="shared" si="71"/>
        <v>#DIV/0!</v>
      </c>
      <c r="F213" s="629" t="e">
        <f t="shared" si="71"/>
        <v>#DIV/0!</v>
      </c>
      <c r="G213" s="629" t="e">
        <f t="shared" si="71"/>
        <v>#DIV/0!</v>
      </c>
      <c r="H213" s="629" t="e">
        <f t="shared" si="71"/>
        <v>#DIV/0!</v>
      </c>
      <c r="I213" s="629" t="e">
        <f t="shared" si="71"/>
        <v>#DIV/0!</v>
      </c>
      <c r="J213" s="629" t="e">
        <f t="shared" si="71"/>
        <v>#DIV/0!</v>
      </c>
    </row>
    <row r="214" spans="1:12">
      <c r="A214" s="622">
        <f>A213+1</f>
        <v>141</v>
      </c>
      <c r="B214" s="7" t="str">
        <f>"Average Balance of Preferred Stock (Ln "&amp;A202&amp;" Above)"</f>
        <v>Average Balance of Preferred Stock (Ln 133 Above)</v>
      </c>
      <c r="C214" s="629">
        <f t="shared" ref="C214:J214" si="72">C202</f>
        <v>0</v>
      </c>
      <c r="D214" s="629"/>
      <c r="E214" s="629">
        <f t="shared" si="72"/>
        <v>0</v>
      </c>
      <c r="F214" s="629">
        <f t="shared" si="72"/>
        <v>0</v>
      </c>
      <c r="G214" s="629">
        <f t="shared" si="72"/>
        <v>0</v>
      </c>
      <c r="H214" s="629">
        <f t="shared" si="72"/>
        <v>0</v>
      </c>
      <c r="I214" s="629">
        <f t="shared" si="72"/>
        <v>0</v>
      </c>
      <c r="J214" s="629">
        <f t="shared" si="72"/>
        <v>0</v>
      </c>
    </row>
    <row r="215" spans="1:12">
      <c r="A215" s="622">
        <f>A214+1</f>
        <v>142</v>
      </c>
      <c r="B215" s="7" t="str">
        <f>"Average Balance of Common Equity (Ln "&amp;A210&amp;" Above)"</f>
        <v>Average Balance of Common Equity (Ln 139 Above)</v>
      </c>
      <c r="C215" s="634" t="e">
        <f t="shared" ref="C215:J215" si="73">C210</f>
        <v>#DIV/0!</v>
      </c>
      <c r="D215" s="634"/>
      <c r="E215" s="634" t="e">
        <f t="shared" si="73"/>
        <v>#DIV/0!</v>
      </c>
      <c r="F215" s="634" t="e">
        <f t="shared" si="73"/>
        <v>#DIV/0!</v>
      </c>
      <c r="G215" s="634" t="e">
        <f t="shared" si="73"/>
        <v>#DIV/0!</v>
      </c>
      <c r="H215" s="634" t="e">
        <f t="shared" si="73"/>
        <v>#DIV/0!</v>
      </c>
      <c r="I215" s="634" t="e">
        <f t="shared" si="73"/>
        <v>#DIV/0!</v>
      </c>
      <c r="J215" s="634" t="e">
        <f t="shared" si="73"/>
        <v>#DIV/0!</v>
      </c>
    </row>
    <row r="216" spans="1:12">
      <c r="A216" s="622">
        <f>A215+1</f>
        <v>143</v>
      </c>
      <c r="B216" s="622" t="s">
        <v>542</v>
      </c>
      <c r="C216" s="629" t="e">
        <f t="shared" ref="C216:J216" si="74">SUM(C213:C215)</f>
        <v>#DIV/0!</v>
      </c>
      <c r="D216" s="629"/>
      <c r="E216" s="629" t="e">
        <f t="shared" si="74"/>
        <v>#DIV/0!</v>
      </c>
      <c r="F216" s="629" t="e">
        <f t="shared" si="74"/>
        <v>#DIV/0!</v>
      </c>
      <c r="G216" s="629" t="e">
        <f t="shared" si="74"/>
        <v>#DIV/0!</v>
      </c>
      <c r="H216" s="629" t="e">
        <f t="shared" si="74"/>
        <v>#DIV/0!</v>
      </c>
      <c r="I216" s="629" t="e">
        <f t="shared" si="74"/>
        <v>#DIV/0!</v>
      </c>
      <c r="J216" s="629" t="e">
        <f t="shared" si="74"/>
        <v>#DIV/0!</v>
      </c>
      <c r="L216" s="643"/>
    </row>
    <row r="218" spans="1:12">
      <c r="A218" s="622">
        <f>A216+1</f>
        <v>144</v>
      </c>
      <c r="B218" s="7" t="str">
        <f>"Average Balance of LTD Capital Shares (Ln "&amp;A213&amp;" / Ln "&amp;A216&amp;")"</f>
        <v>Average Balance of LTD Capital Shares (Ln 140 / Ln 143)</v>
      </c>
      <c r="C218" s="635" t="e">
        <f t="shared" ref="C218:I218" si="75">C213/C216</f>
        <v>#DIV/0!</v>
      </c>
      <c r="D218" s="635"/>
      <c r="E218" s="635" t="e">
        <f t="shared" si="75"/>
        <v>#DIV/0!</v>
      </c>
      <c r="F218" s="635" t="e">
        <f t="shared" si="75"/>
        <v>#DIV/0!</v>
      </c>
      <c r="G218" s="635" t="e">
        <f t="shared" si="75"/>
        <v>#DIV/0!</v>
      </c>
      <c r="H218" s="635" t="e">
        <f t="shared" si="75"/>
        <v>#DIV/0!</v>
      </c>
      <c r="I218" s="635" t="e">
        <f t="shared" si="75"/>
        <v>#DIV/0!</v>
      </c>
      <c r="J218" s="635" t="e">
        <f>J213/J216</f>
        <v>#DIV/0!</v>
      </c>
    </row>
    <row r="219" spans="1:12">
      <c r="A219" s="622">
        <f>A218+1</f>
        <v>145</v>
      </c>
      <c r="B219" s="7" t="str">
        <f>"Average Balance of Preferred Stock Capital Shares (Ln "&amp;A214&amp;" / Ln "&amp;A216&amp;")"</f>
        <v>Average Balance of Preferred Stock Capital Shares (Ln 141 / Ln 143)</v>
      </c>
      <c r="C219" s="635" t="e">
        <f t="shared" ref="C219:I219" si="76">C214/C216</f>
        <v>#DIV/0!</v>
      </c>
      <c r="D219" s="635"/>
      <c r="E219" s="635" t="e">
        <f t="shared" si="76"/>
        <v>#DIV/0!</v>
      </c>
      <c r="F219" s="635" t="e">
        <f t="shared" si="76"/>
        <v>#DIV/0!</v>
      </c>
      <c r="G219" s="635" t="e">
        <f t="shared" si="76"/>
        <v>#DIV/0!</v>
      </c>
      <c r="H219" s="635" t="e">
        <f t="shared" si="76"/>
        <v>#DIV/0!</v>
      </c>
      <c r="I219" s="635" t="e">
        <f t="shared" si="76"/>
        <v>#DIV/0!</v>
      </c>
      <c r="J219" s="635" t="e">
        <f>J214/J216</f>
        <v>#DIV/0!</v>
      </c>
    </row>
    <row r="220" spans="1:12">
      <c r="A220" s="622">
        <f>A219+1</f>
        <v>146</v>
      </c>
      <c r="B220" s="7" t="str">
        <f>"Average Balance of Common Equity Capital Shares (Ln "&amp;A215&amp;" / Ln "&amp;A216&amp;")"</f>
        <v>Average Balance of Common Equity Capital Shares (Ln 142 / Ln 143)</v>
      </c>
      <c r="C220" s="636" t="e">
        <f t="shared" ref="C220:I220" si="77">C215/C216</f>
        <v>#DIV/0!</v>
      </c>
      <c r="D220" s="636"/>
      <c r="E220" s="636" t="e">
        <f t="shared" si="77"/>
        <v>#DIV/0!</v>
      </c>
      <c r="F220" s="636" t="e">
        <f t="shared" si="77"/>
        <v>#DIV/0!</v>
      </c>
      <c r="G220" s="636" t="e">
        <f t="shared" si="77"/>
        <v>#DIV/0!</v>
      </c>
      <c r="H220" s="636" t="e">
        <f t="shared" si="77"/>
        <v>#DIV/0!</v>
      </c>
      <c r="I220" s="636" t="e">
        <f t="shared" si="77"/>
        <v>#DIV/0!</v>
      </c>
      <c r="J220" s="636" t="e">
        <f>J215/J216</f>
        <v>#DIV/0!</v>
      </c>
    </row>
    <row r="221" spans="1:12">
      <c r="B221" s="7"/>
      <c r="C221" s="636"/>
      <c r="D221" s="636"/>
      <c r="E221" s="636"/>
      <c r="F221" s="636"/>
      <c r="G221" s="636"/>
      <c r="H221" s="636"/>
      <c r="I221" s="636"/>
      <c r="J221" s="636"/>
    </row>
    <row r="222" spans="1:12">
      <c r="A222" s="622">
        <f>A220+1</f>
        <v>147</v>
      </c>
      <c r="B222" s="344" t="s">
        <v>564</v>
      </c>
      <c r="C222" s="636"/>
      <c r="D222" s="636"/>
      <c r="E222" s="636"/>
      <c r="F222" s="636"/>
      <c r="G222" s="636"/>
      <c r="H222" s="636"/>
      <c r="I222" s="636"/>
      <c r="J222" s="636"/>
    </row>
    <row r="223" spans="1:12">
      <c r="B223" s="7"/>
      <c r="C223" s="636"/>
      <c r="D223" s="636"/>
      <c r="E223" s="636"/>
      <c r="F223" s="636"/>
      <c r="G223" s="636"/>
      <c r="H223" s="636"/>
      <c r="I223" s="636"/>
      <c r="J223" s="636"/>
    </row>
    <row r="224" spans="1:12">
      <c r="A224" s="622">
        <f>A222+1</f>
        <v>148</v>
      </c>
      <c r="B224" s="344" t="s">
        <v>564</v>
      </c>
      <c r="C224" s="636"/>
      <c r="D224" s="636"/>
      <c r="E224" s="636"/>
      <c r="F224" s="636"/>
      <c r="G224" s="636"/>
      <c r="H224" s="636"/>
      <c r="I224" s="636"/>
      <c r="J224" s="636"/>
    </row>
    <row r="225" spans="1:10">
      <c r="A225" s="622">
        <f>A224+1</f>
        <v>149</v>
      </c>
      <c r="B225" s="344" t="s">
        <v>564</v>
      </c>
      <c r="C225" s="636"/>
      <c r="D225" s="636"/>
      <c r="E225" s="636"/>
      <c r="F225" s="636"/>
      <c r="G225" s="636"/>
      <c r="H225" s="636"/>
      <c r="I225" s="636"/>
      <c r="J225" s="636"/>
    </row>
    <row r="226" spans="1:10">
      <c r="A226" s="622">
        <f>A225+1</f>
        <v>150</v>
      </c>
      <c r="B226" s="344" t="s">
        <v>564</v>
      </c>
      <c r="C226" s="636"/>
      <c r="D226" s="636"/>
      <c r="E226" s="636"/>
      <c r="F226" s="636"/>
      <c r="G226" s="636"/>
      <c r="H226" s="636"/>
      <c r="I226" s="636"/>
      <c r="J226" s="636"/>
    </row>
    <row r="227" spans="1:10">
      <c r="B227" s="7"/>
      <c r="C227" s="636"/>
      <c r="D227" s="636"/>
      <c r="E227" s="636"/>
      <c r="F227" s="636"/>
      <c r="G227" s="636"/>
      <c r="H227" s="636"/>
      <c r="I227" s="636"/>
      <c r="J227" s="636"/>
    </row>
    <row r="228" spans="1:10" ht="15">
      <c r="A228" s="601" t="s">
        <v>535</v>
      </c>
    </row>
    <row r="229" spans="1:10">
      <c r="A229" s="622">
        <f>A226+1</f>
        <v>151</v>
      </c>
      <c r="B229" s="7" t="str">
        <f>"LTD Capital Cost Rate (Ln "&amp;A199&amp;" / Ln "&amp;A188&amp;")"</f>
        <v>LTD Capital Cost Rate (Ln 132 / Ln 124)</v>
      </c>
      <c r="C229" s="636" t="e">
        <f t="shared" ref="C229:J229" si="78">C199/C188</f>
        <v>#DIV/0!</v>
      </c>
      <c r="D229" s="636"/>
      <c r="E229" s="636" t="e">
        <f t="shared" si="78"/>
        <v>#DIV/0!</v>
      </c>
      <c r="F229" s="636" t="e">
        <f t="shared" si="78"/>
        <v>#DIV/0!</v>
      </c>
      <c r="G229" s="636" t="e">
        <f t="shared" si="78"/>
        <v>#DIV/0!</v>
      </c>
      <c r="H229" s="636" t="e">
        <f t="shared" si="78"/>
        <v>#DIV/0!</v>
      </c>
      <c r="I229" s="636" t="e">
        <f t="shared" si="78"/>
        <v>#DIV/0!</v>
      </c>
      <c r="J229" s="636" t="e">
        <f t="shared" si="78"/>
        <v>#DIV/0!</v>
      </c>
    </row>
    <row r="230" spans="1:10">
      <c r="A230" s="622">
        <f>A229+1</f>
        <v>152</v>
      </c>
      <c r="B230" s="7" t="str">
        <f>"Preferred Stock Capital Cost Rate (Ln "&amp;A203&amp;" / Ln "&amp;A202&amp;")"</f>
        <v>Preferred Stock Capital Cost Rate (Ln 134 / Ln 133)</v>
      </c>
      <c r="C230" s="636">
        <f t="shared" ref="C230:J230" si="79">IF(C202=0,0,C203/C202)</f>
        <v>0</v>
      </c>
      <c r="D230" s="636"/>
      <c r="E230" s="636">
        <f t="shared" si="79"/>
        <v>0</v>
      </c>
      <c r="F230" s="636">
        <f t="shared" si="79"/>
        <v>0</v>
      </c>
      <c r="G230" s="636">
        <f t="shared" si="79"/>
        <v>0</v>
      </c>
      <c r="H230" s="636">
        <f t="shared" si="79"/>
        <v>0</v>
      </c>
      <c r="I230" s="636">
        <f t="shared" si="79"/>
        <v>0</v>
      </c>
      <c r="J230" s="636">
        <f t="shared" si="79"/>
        <v>0</v>
      </c>
    </row>
    <row r="231" spans="1:10">
      <c r="A231" s="622">
        <f>A230+1</f>
        <v>153</v>
      </c>
      <c r="B231" s="7" t="s">
        <v>536</v>
      </c>
      <c r="C231" s="636">
        <v>0.1149</v>
      </c>
      <c r="D231" s="636"/>
      <c r="E231" s="636">
        <v>0.1149</v>
      </c>
      <c r="F231" s="636">
        <v>0.1149</v>
      </c>
      <c r="G231" s="636">
        <v>0.1149</v>
      </c>
      <c r="H231" s="636">
        <v>0.1149</v>
      </c>
      <c r="I231" s="636">
        <v>0.1149</v>
      </c>
      <c r="J231" s="636">
        <v>0.1149</v>
      </c>
    </row>
    <row r="233" spans="1:10" ht="15">
      <c r="A233" s="601" t="s">
        <v>537</v>
      </c>
    </row>
    <row r="234" spans="1:10">
      <c r="A234" s="622">
        <f>A231+1</f>
        <v>154</v>
      </c>
      <c r="B234" s="7" t="str">
        <f>"LTD Weighted Capital Cost Rate (Ln "&amp;A218&amp;" * Ln "&amp;A229&amp;")"</f>
        <v>LTD Weighted Capital Cost Rate (Ln 144 * Ln 151)</v>
      </c>
      <c r="C234" s="636" t="e">
        <f>C218*C229</f>
        <v>#DIV/0!</v>
      </c>
      <c r="D234" s="636"/>
      <c r="E234" s="636" t="e">
        <f t="shared" ref="E234:J234" si="80">E218*E229</f>
        <v>#DIV/0!</v>
      </c>
      <c r="F234" s="636" t="e">
        <f t="shared" si="80"/>
        <v>#DIV/0!</v>
      </c>
      <c r="G234" s="636" t="e">
        <f t="shared" si="80"/>
        <v>#DIV/0!</v>
      </c>
      <c r="H234" s="636" t="e">
        <f t="shared" si="80"/>
        <v>#DIV/0!</v>
      </c>
      <c r="I234" s="636" t="e">
        <f t="shared" si="80"/>
        <v>#DIV/0!</v>
      </c>
      <c r="J234" s="636" t="e">
        <f t="shared" si="80"/>
        <v>#DIV/0!</v>
      </c>
    </row>
    <row r="235" spans="1:10">
      <c r="A235" s="622">
        <f>A234+1</f>
        <v>155</v>
      </c>
      <c r="B235" s="7" t="str">
        <f>"Preferred Stock Capital Cost Rate (Ln "&amp;A219&amp;" * Ln "&amp;A230&amp;")"</f>
        <v>Preferred Stock Capital Cost Rate (Ln 145 * Ln 152)</v>
      </c>
      <c r="C235" s="636" t="e">
        <f>C219*C230</f>
        <v>#DIV/0!</v>
      </c>
      <c r="D235" s="636"/>
      <c r="E235" s="636" t="e">
        <f t="shared" ref="E235:J235" si="81">E219*E230</f>
        <v>#DIV/0!</v>
      </c>
      <c r="F235" s="636" t="e">
        <f t="shared" si="81"/>
        <v>#DIV/0!</v>
      </c>
      <c r="G235" s="636" t="e">
        <f t="shared" si="81"/>
        <v>#DIV/0!</v>
      </c>
      <c r="H235" s="636" t="e">
        <f t="shared" si="81"/>
        <v>#DIV/0!</v>
      </c>
      <c r="I235" s="636" t="e">
        <f t="shared" si="81"/>
        <v>#DIV/0!</v>
      </c>
      <c r="J235" s="636" t="e">
        <f t="shared" si="81"/>
        <v>#DIV/0!</v>
      </c>
    </row>
    <row r="236" spans="1:10">
      <c r="A236" s="622">
        <f>A235+1</f>
        <v>156</v>
      </c>
      <c r="B236" s="7" t="str">
        <f>"Common Equity Capital Cost Rate (Ln "&amp;A220&amp;" * Ln "&amp;A231&amp;")"</f>
        <v>Common Equity Capital Cost Rate (Ln 146 * Ln 153)</v>
      </c>
      <c r="C236" s="644" t="e">
        <f>C220*C231</f>
        <v>#DIV/0!</v>
      </c>
      <c r="D236" s="644"/>
      <c r="E236" s="644" t="e">
        <f t="shared" ref="E236:J236" si="82">E220*E231</f>
        <v>#DIV/0!</v>
      </c>
      <c r="F236" s="644" t="e">
        <f t="shared" si="82"/>
        <v>#DIV/0!</v>
      </c>
      <c r="G236" s="644" t="e">
        <f t="shared" si="82"/>
        <v>#DIV/0!</v>
      </c>
      <c r="H236" s="644" t="e">
        <f t="shared" si="82"/>
        <v>#DIV/0!</v>
      </c>
      <c r="I236" s="644" t="e">
        <f t="shared" si="82"/>
        <v>#DIV/0!</v>
      </c>
      <c r="J236" s="644" t="e">
        <f t="shared" si="82"/>
        <v>#DIV/0!</v>
      </c>
    </row>
    <row r="237" spans="1:10">
      <c r="A237" s="622">
        <f>A236+1</f>
        <v>157</v>
      </c>
      <c r="B237" s="642" t="s">
        <v>69</v>
      </c>
      <c r="C237" s="645" t="e">
        <f t="shared" ref="C237:J237" si="83">SUM(C234:C236)</f>
        <v>#DIV/0!</v>
      </c>
      <c r="D237" s="645"/>
      <c r="E237" s="645" t="e">
        <f t="shared" si="83"/>
        <v>#DIV/0!</v>
      </c>
      <c r="F237" s="645" t="e">
        <f t="shared" si="83"/>
        <v>#DIV/0!</v>
      </c>
      <c r="G237" s="645" t="e">
        <f t="shared" si="83"/>
        <v>#DIV/0!</v>
      </c>
      <c r="H237" s="645" t="e">
        <f t="shared" si="83"/>
        <v>#DIV/0!</v>
      </c>
      <c r="I237" s="645" t="e">
        <f t="shared" si="83"/>
        <v>#DIV/0!</v>
      </c>
      <c r="J237" s="645" t="e">
        <f t="shared" si="83"/>
        <v>#DIV/0!</v>
      </c>
    </row>
    <row r="238" spans="1:10">
      <c r="B238" s="641"/>
    </row>
  </sheetData>
  <mergeCells count="12">
    <mergeCell ref="A179:J179"/>
    <mergeCell ref="B190:J190"/>
    <mergeCell ref="A91:J91"/>
    <mergeCell ref="A92:J92"/>
    <mergeCell ref="B103:J103"/>
    <mergeCell ref="A177:J177"/>
    <mergeCell ref="A178:J178"/>
    <mergeCell ref="B16:J16"/>
    <mergeCell ref="A3:J3"/>
    <mergeCell ref="A4:J4"/>
    <mergeCell ref="A5:J5"/>
    <mergeCell ref="A90:J90"/>
  </mergeCells>
  <phoneticPr fontId="111" type="noConversion"/>
  <pageMargins left="0.5" right="0.5" top="1" bottom="1" header="0.5" footer="0.5"/>
  <pageSetup scale="51" fitToHeight="0" orientation="portrait" r:id="rId1"/>
  <headerFooter alignWithMargins="0">
    <oddHeader>&amp;RFormula Rate 
&amp;A
Page &amp;P of &amp;N</oddHeader>
  </headerFooter>
  <rowBreaks count="2" manualBreakCount="2">
    <brk id="89" max="9" man="1"/>
    <brk id="176" max="9" man="1"/>
  </rowBreaks>
  <ignoredErrors>
    <ignoredError sqref="J60" unlocked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dimension ref="B1:L57"/>
  <sheetViews>
    <sheetView view="pageBreakPreview" zoomScale="60" zoomScaleNormal="100" workbookViewId="0">
      <selection activeCell="E10" sqref="E10"/>
    </sheetView>
  </sheetViews>
  <sheetFormatPr defaultColWidth="8.85546875" defaultRowHeight="12.75"/>
  <cols>
    <col min="2" max="2" width="23" customWidth="1"/>
    <col min="3" max="3" width="10.5703125" customWidth="1"/>
    <col min="5" max="5" width="22" customWidth="1"/>
    <col min="7" max="7" width="12.7109375" customWidth="1"/>
    <col min="9" max="9" width="20.85546875" customWidth="1"/>
    <col min="10" max="10" width="15.7109375" customWidth="1"/>
    <col min="11" max="11" width="5.5703125" customWidth="1"/>
    <col min="12" max="12" width="18.7109375" customWidth="1"/>
  </cols>
  <sheetData>
    <row r="1" spans="2:12" ht="15.75">
      <c r="B1" s="1224" t="s">
        <v>810</v>
      </c>
      <c r="C1" s="1224"/>
      <c r="D1" s="1224"/>
      <c r="E1" s="1224"/>
      <c r="F1" s="1224"/>
      <c r="G1" s="1224"/>
      <c r="H1" s="1224"/>
      <c r="I1" s="1224"/>
      <c r="J1" s="1224"/>
      <c r="K1" s="1224"/>
      <c r="L1" s="1224"/>
    </row>
    <row r="2" spans="2:12" ht="15.75">
      <c r="B2" s="1225" t="s">
        <v>563</v>
      </c>
      <c r="C2" s="1225"/>
      <c r="D2" s="1225"/>
      <c r="E2" s="1225"/>
      <c r="F2" s="1225"/>
      <c r="G2" s="1225"/>
      <c r="H2" s="1225"/>
      <c r="I2" s="1225"/>
      <c r="J2" s="1225"/>
      <c r="K2" s="1225"/>
      <c r="L2" s="1225"/>
    </row>
    <row r="3" spans="2:12" ht="15.75">
      <c r="B3" s="1225" t="s">
        <v>593</v>
      </c>
      <c r="C3" s="1225"/>
      <c r="D3" s="1225"/>
      <c r="E3" s="1225"/>
      <c r="F3" s="1225"/>
      <c r="G3" s="1225"/>
      <c r="H3" s="1225"/>
      <c r="I3" s="1225"/>
      <c r="J3" s="1225"/>
      <c r="K3" s="1225"/>
      <c r="L3" s="1225"/>
    </row>
    <row r="4" spans="2:12" ht="15.75">
      <c r="B4" s="131"/>
      <c r="C4" s="131"/>
      <c r="D4" s="131"/>
      <c r="E4" s="1225"/>
      <c r="F4" s="1225"/>
      <c r="G4" s="1225"/>
      <c r="H4" s="1225"/>
      <c r="I4" s="131"/>
      <c r="J4" s="131"/>
      <c r="K4" s="131"/>
      <c r="L4" s="131"/>
    </row>
    <row r="7" spans="2:12" ht="16.5" thickBot="1">
      <c r="B7" s="920"/>
      <c r="C7" s="921"/>
      <c r="D7" s="921"/>
      <c r="E7" s="921"/>
      <c r="F7" s="921"/>
      <c r="G7" s="921"/>
      <c r="H7" s="921"/>
      <c r="I7" s="921"/>
      <c r="J7" s="921"/>
      <c r="K7" s="921"/>
      <c r="L7" s="921"/>
    </row>
    <row r="8" spans="2:12" ht="63">
      <c r="B8" s="922" t="str">
        <f>"Reconciliation Revenue Requirement For Year 2024 Available May 25, 2025"</f>
        <v>Reconciliation Revenue Requirement For Year 2024 Available May 25, 2025</v>
      </c>
      <c r="C8" s="921"/>
      <c r="D8" s="921"/>
      <c r="E8" s="922" t="s">
        <v>966</v>
      </c>
      <c r="F8" s="921"/>
      <c r="G8" s="921"/>
      <c r="H8" s="131"/>
      <c r="I8" s="922" t="s">
        <v>565</v>
      </c>
      <c r="J8" s="131"/>
      <c r="K8" s="131"/>
      <c r="L8" s="131"/>
    </row>
    <row r="9" spans="2:12" ht="15.75">
      <c r="B9" s="1031" t="s">
        <v>414</v>
      </c>
      <c r="C9" s="921"/>
      <c r="D9" s="921"/>
      <c r="E9" s="1031"/>
      <c r="F9" s="921"/>
      <c r="G9" s="921"/>
      <c r="H9" s="131"/>
      <c r="I9" s="923"/>
      <c r="J9" s="131"/>
      <c r="K9" s="131"/>
      <c r="L9" s="131"/>
    </row>
    <row r="10" spans="2:12" ht="16.5" thickBot="1">
      <c r="B10" s="952">
        <v>16424628.259744525</v>
      </c>
      <c r="C10" s="1032" t="s">
        <v>811</v>
      </c>
      <c r="D10" s="1033"/>
      <c r="E10" s="952">
        <v>16442103.492047641</v>
      </c>
      <c r="F10" s="924"/>
      <c r="G10" s="925" t="s">
        <v>812</v>
      </c>
      <c r="H10" s="926"/>
      <c r="I10" s="927">
        <f>IF(B10=0,0,E10-B10)</f>
        <v>17475.232303116471</v>
      </c>
      <c r="J10" s="131"/>
      <c r="K10" s="131"/>
      <c r="L10" s="131"/>
    </row>
    <row r="11" spans="2:12" ht="15.75">
      <c r="B11" s="928"/>
      <c r="C11" s="929"/>
      <c r="D11" s="929"/>
      <c r="E11" s="928"/>
      <c r="F11" s="928"/>
      <c r="G11" s="929"/>
      <c r="H11" s="928"/>
      <c r="I11" s="131"/>
      <c r="J11" s="131"/>
      <c r="K11" s="131"/>
      <c r="L11" s="131"/>
    </row>
    <row r="12" spans="2:12" ht="16.5" thickBot="1">
      <c r="B12" s="930"/>
      <c r="C12" s="931"/>
      <c r="D12" s="931"/>
      <c r="E12" s="930"/>
      <c r="F12" s="930"/>
      <c r="G12" s="931"/>
      <c r="H12" s="930"/>
      <c r="I12" s="932"/>
      <c r="J12" s="932"/>
      <c r="K12" s="932"/>
      <c r="L12" s="932"/>
    </row>
    <row r="13" spans="2:12" ht="15.75">
      <c r="B13" s="933"/>
      <c r="C13" s="929"/>
      <c r="D13" s="929"/>
      <c r="E13" s="928"/>
      <c r="F13" s="928"/>
      <c r="G13" s="929"/>
      <c r="H13" s="928"/>
      <c r="I13" s="131"/>
      <c r="J13" s="131"/>
      <c r="K13" s="131"/>
      <c r="L13" s="131"/>
    </row>
    <row r="14" spans="2:12" ht="47.25">
      <c r="B14" s="934" t="s">
        <v>623</v>
      </c>
      <c r="C14" s="929"/>
      <c r="D14" s="929"/>
      <c r="E14" s="935" t="s">
        <v>566</v>
      </c>
      <c r="F14" s="928"/>
      <c r="G14" s="935" t="s">
        <v>567</v>
      </c>
      <c r="H14" s="936" t="s">
        <v>568</v>
      </c>
      <c r="I14" s="937" t="s">
        <v>569</v>
      </c>
      <c r="J14" s="935" t="s">
        <v>570</v>
      </c>
      <c r="K14" s="938"/>
      <c r="L14" s="935" t="s">
        <v>571</v>
      </c>
    </row>
    <row r="15" spans="2:12" ht="15.75">
      <c r="B15" s="934" t="s">
        <v>624</v>
      </c>
      <c r="C15" s="929"/>
      <c r="D15" s="929"/>
      <c r="E15" s="131"/>
      <c r="F15" s="939"/>
      <c r="G15" s="953">
        <v>6.8300000000000001E-3</v>
      </c>
      <c r="I15" s="131"/>
      <c r="J15" s="131"/>
      <c r="K15" s="131"/>
      <c r="L15" s="131"/>
    </row>
    <row r="16" spans="2:12" ht="15.75">
      <c r="B16" s="934"/>
      <c r="C16" s="929"/>
      <c r="D16" s="929"/>
      <c r="E16" s="131"/>
      <c r="F16" s="939"/>
      <c r="G16" s="939"/>
      <c r="H16" s="928"/>
      <c r="I16" s="131"/>
      <c r="J16" s="131"/>
      <c r="K16" s="131"/>
      <c r="L16" s="131"/>
    </row>
    <row r="17" spans="2:12" ht="15.75">
      <c r="B17" s="934" t="s">
        <v>967</v>
      </c>
      <c r="C17" s="929"/>
      <c r="D17" s="929"/>
      <c r="E17" s="131"/>
      <c r="F17" s="939"/>
      <c r="G17" s="939"/>
      <c r="H17" s="928"/>
      <c r="I17" s="131"/>
      <c r="J17" s="131"/>
      <c r="K17" s="131"/>
      <c r="L17" s="131"/>
    </row>
    <row r="18" spans="2:12" ht="15.75">
      <c r="B18" s="940" t="s">
        <v>414</v>
      </c>
      <c r="C18" s="929"/>
      <c r="D18" s="929"/>
      <c r="E18" s="929"/>
      <c r="F18" s="929"/>
      <c r="G18" s="929" t="s">
        <v>414</v>
      </c>
      <c r="H18" s="131"/>
      <c r="I18" s="131"/>
      <c r="J18" s="131"/>
      <c r="K18" s="131"/>
      <c r="L18" s="131"/>
    </row>
    <row r="19" spans="2:12" ht="15.75">
      <c r="B19" s="941"/>
      <c r="C19" s="929"/>
      <c r="D19" s="929"/>
      <c r="E19" s="929"/>
      <c r="F19" s="929"/>
      <c r="G19" s="131"/>
      <c r="H19" s="131"/>
      <c r="I19" s="936"/>
      <c r="J19" s="929"/>
      <c r="K19" s="929"/>
      <c r="L19" s="929"/>
    </row>
    <row r="20" spans="2:12" ht="15.75">
      <c r="B20" s="941" t="s">
        <v>572</v>
      </c>
      <c r="C20" s="929"/>
      <c r="D20" s="929"/>
      <c r="E20" s="929"/>
      <c r="F20" s="929"/>
      <c r="G20" s="131"/>
      <c r="H20" s="131"/>
      <c r="I20" s="936" t="s">
        <v>573</v>
      </c>
      <c r="J20" s="929"/>
      <c r="K20" s="929"/>
      <c r="L20" s="929"/>
    </row>
    <row r="21" spans="2:12" ht="15.75">
      <c r="B21" s="921" t="s">
        <v>574</v>
      </c>
      <c r="C21" s="921" t="str">
        <f>"Year "&amp;TCOS!L4-2</f>
        <v>Year 2024</v>
      </c>
      <c r="D21" s="921"/>
      <c r="E21" s="942">
        <f>I10/12</f>
        <v>1456.2693585930392</v>
      </c>
      <c r="F21" s="942"/>
      <c r="G21" s="943">
        <f>G15</f>
        <v>6.8300000000000001E-3</v>
      </c>
      <c r="H21" s="929">
        <v>12</v>
      </c>
      <c r="I21" s="942">
        <f>G21*E21*H21*-1</f>
        <v>-119.35583663028549</v>
      </c>
      <c r="J21" s="942"/>
      <c r="K21" s="942"/>
      <c r="L21" s="942">
        <f>(-I21+E21)*-1</f>
        <v>-1575.6251952233247</v>
      </c>
    </row>
    <row r="22" spans="2:12" ht="15.75">
      <c r="B22" s="921" t="s">
        <v>575</v>
      </c>
      <c r="C22" s="921" t="str">
        <f>C21</f>
        <v>Year 2024</v>
      </c>
      <c r="D22" s="921"/>
      <c r="E22" s="942">
        <f>+E21</f>
        <v>1456.2693585930392</v>
      </c>
      <c r="F22" s="942"/>
      <c r="G22" s="943">
        <f>+G21</f>
        <v>6.8300000000000001E-3</v>
      </c>
      <c r="H22" s="929">
        <v>11</v>
      </c>
      <c r="I22" s="942">
        <f t="shared" ref="I22:I32" si="0">G22*E22*H22*-1</f>
        <v>-109.40951691109503</v>
      </c>
      <c r="J22" s="942"/>
      <c r="K22" s="942"/>
      <c r="L22" s="942">
        <f t="shared" ref="L22:L32" si="1">(-I22+E22)*-1</f>
        <v>-1565.6788755041343</v>
      </c>
    </row>
    <row r="23" spans="2:12" ht="15.75">
      <c r="B23" s="921" t="s">
        <v>576</v>
      </c>
      <c r="C23" s="921" t="str">
        <f>C21</f>
        <v>Year 2024</v>
      </c>
      <c r="D23" s="921"/>
      <c r="E23" s="942">
        <f t="shared" ref="E23:E32" si="2">+E22</f>
        <v>1456.2693585930392</v>
      </c>
      <c r="F23" s="942"/>
      <c r="G23" s="943">
        <f t="shared" ref="G23:G32" si="3">+G22</f>
        <v>6.8300000000000001E-3</v>
      </c>
      <c r="H23" s="929">
        <v>10</v>
      </c>
      <c r="I23" s="942">
        <f t="shared" si="0"/>
        <v>-99.46319719190457</v>
      </c>
      <c r="J23" s="942"/>
      <c r="K23" s="942"/>
      <c r="L23" s="942">
        <f t="shared" si="1"/>
        <v>-1555.7325557849438</v>
      </c>
    </row>
    <row r="24" spans="2:12" ht="15.75">
      <c r="B24" s="921" t="s">
        <v>577</v>
      </c>
      <c r="C24" s="921" t="str">
        <f>C21</f>
        <v>Year 2024</v>
      </c>
      <c r="D24" s="921"/>
      <c r="E24" s="942">
        <f t="shared" si="2"/>
        <v>1456.2693585930392</v>
      </c>
      <c r="F24" s="942"/>
      <c r="G24" s="943">
        <f t="shared" si="3"/>
        <v>6.8300000000000001E-3</v>
      </c>
      <c r="H24" s="929">
        <v>9</v>
      </c>
      <c r="I24" s="942">
        <f t="shared" si="0"/>
        <v>-89.516877472714114</v>
      </c>
      <c r="J24" s="942"/>
      <c r="K24" s="942"/>
      <c r="L24" s="942">
        <f t="shared" si="1"/>
        <v>-1545.7862360657534</v>
      </c>
    </row>
    <row r="25" spans="2:12" ht="15.75">
      <c r="B25" s="921" t="s">
        <v>578</v>
      </c>
      <c r="C25" s="921" t="str">
        <f>C21</f>
        <v>Year 2024</v>
      </c>
      <c r="D25" s="921"/>
      <c r="E25" s="942">
        <f t="shared" si="2"/>
        <v>1456.2693585930392</v>
      </c>
      <c r="F25" s="942"/>
      <c r="G25" s="943">
        <f t="shared" si="3"/>
        <v>6.8300000000000001E-3</v>
      </c>
      <c r="H25" s="929">
        <v>8</v>
      </c>
      <c r="I25" s="942">
        <f t="shared" si="0"/>
        <v>-79.570557753523659</v>
      </c>
      <c r="J25" s="942"/>
      <c r="K25" s="942"/>
      <c r="L25" s="942">
        <f t="shared" si="1"/>
        <v>-1535.8399163465629</v>
      </c>
    </row>
    <row r="26" spans="2:12" ht="15.75">
      <c r="B26" s="921" t="s">
        <v>579</v>
      </c>
      <c r="C26" s="921" t="str">
        <f>C21</f>
        <v>Year 2024</v>
      </c>
      <c r="D26" s="921"/>
      <c r="E26" s="942">
        <f t="shared" si="2"/>
        <v>1456.2693585930392</v>
      </c>
      <c r="F26" s="942"/>
      <c r="G26" s="943">
        <f t="shared" si="3"/>
        <v>6.8300000000000001E-3</v>
      </c>
      <c r="H26" s="929">
        <v>7</v>
      </c>
      <c r="I26" s="942">
        <f t="shared" si="0"/>
        <v>-69.624238034333203</v>
      </c>
      <c r="J26" s="942"/>
      <c r="K26" s="942"/>
      <c r="L26" s="942">
        <f t="shared" si="1"/>
        <v>-1525.8935966273725</v>
      </c>
    </row>
    <row r="27" spans="2:12" ht="15.75">
      <c r="B27" s="921" t="s">
        <v>580</v>
      </c>
      <c r="C27" s="921" t="str">
        <f>C21</f>
        <v>Year 2024</v>
      </c>
      <c r="D27" s="921"/>
      <c r="E27" s="942">
        <f t="shared" si="2"/>
        <v>1456.2693585930392</v>
      </c>
      <c r="F27" s="942"/>
      <c r="G27" s="943">
        <f t="shared" si="3"/>
        <v>6.8300000000000001E-3</v>
      </c>
      <c r="H27" s="929">
        <v>6</v>
      </c>
      <c r="I27" s="942">
        <f t="shared" si="0"/>
        <v>-59.677918315142747</v>
      </c>
      <c r="J27" s="942"/>
      <c r="K27" s="942"/>
      <c r="L27" s="942">
        <f t="shared" si="1"/>
        <v>-1515.9472769081819</v>
      </c>
    </row>
    <row r="28" spans="2:12" ht="15.75">
      <c r="B28" s="921" t="s">
        <v>581</v>
      </c>
      <c r="C28" s="921" t="str">
        <f>C21</f>
        <v>Year 2024</v>
      </c>
      <c r="D28" s="921"/>
      <c r="E28" s="942">
        <f t="shared" si="2"/>
        <v>1456.2693585930392</v>
      </c>
      <c r="F28" s="942"/>
      <c r="G28" s="943">
        <f t="shared" si="3"/>
        <v>6.8300000000000001E-3</v>
      </c>
      <c r="H28" s="929">
        <v>5</v>
      </c>
      <c r="I28" s="942">
        <f t="shared" si="0"/>
        <v>-49.731598595952285</v>
      </c>
      <c r="J28" s="942"/>
      <c r="K28" s="942"/>
      <c r="L28" s="942">
        <f t="shared" si="1"/>
        <v>-1506.0009571889916</v>
      </c>
    </row>
    <row r="29" spans="2:12" ht="15.75">
      <c r="B29" s="921" t="s">
        <v>582</v>
      </c>
      <c r="C29" s="921" t="str">
        <f>C21</f>
        <v>Year 2024</v>
      </c>
      <c r="D29" s="921"/>
      <c r="E29" s="942">
        <f t="shared" si="2"/>
        <v>1456.2693585930392</v>
      </c>
      <c r="F29" s="942"/>
      <c r="G29" s="943">
        <f t="shared" si="3"/>
        <v>6.8300000000000001E-3</v>
      </c>
      <c r="H29" s="929">
        <v>4</v>
      </c>
      <c r="I29" s="942">
        <f t="shared" si="0"/>
        <v>-39.785278876761829</v>
      </c>
      <c r="J29" s="942"/>
      <c r="K29" s="942"/>
      <c r="L29" s="942">
        <f t="shared" si="1"/>
        <v>-1496.054637469801</v>
      </c>
    </row>
    <row r="30" spans="2:12" ht="15.75">
      <c r="B30" s="921" t="s">
        <v>583</v>
      </c>
      <c r="C30" s="921" t="str">
        <f>C21</f>
        <v>Year 2024</v>
      </c>
      <c r="D30" s="921"/>
      <c r="E30" s="942">
        <f t="shared" si="2"/>
        <v>1456.2693585930392</v>
      </c>
      <c r="F30" s="942"/>
      <c r="G30" s="943">
        <f t="shared" si="3"/>
        <v>6.8300000000000001E-3</v>
      </c>
      <c r="H30" s="929">
        <v>3</v>
      </c>
      <c r="I30" s="942">
        <f t="shared" si="0"/>
        <v>-29.838959157571374</v>
      </c>
      <c r="J30" s="942"/>
      <c r="K30" s="942"/>
      <c r="L30" s="942">
        <f t="shared" si="1"/>
        <v>-1486.1083177506107</v>
      </c>
    </row>
    <row r="31" spans="2:12" ht="15.75">
      <c r="B31" s="921" t="s">
        <v>584</v>
      </c>
      <c r="C31" s="921" t="str">
        <f>C21</f>
        <v>Year 2024</v>
      </c>
      <c r="D31" s="921"/>
      <c r="E31" s="942">
        <f t="shared" si="2"/>
        <v>1456.2693585930392</v>
      </c>
      <c r="F31" s="942"/>
      <c r="G31" s="943">
        <f t="shared" si="3"/>
        <v>6.8300000000000001E-3</v>
      </c>
      <c r="H31" s="929">
        <v>2</v>
      </c>
      <c r="I31" s="942">
        <f t="shared" si="0"/>
        <v>-19.892639438380915</v>
      </c>
      <c r="J31" s="942"/>
      <c r="K31" s="942"/>
      <c r="L31" s="942">
        <f t="shared" si="1"/>
        <v>-1476.1619980314201</v>
      </c>
    </row>
    <row r="32" spans="2:12" ht="15.75">
      <c r="B32" s="921" t="s">
        <v>585</v>
      </c>
      <c r="C32" s="921" t="str">
        <f>C21</f>
        <v>Year 2024</v>
      </c>
      <c r="D32" s="921"/>
      <c r="E32" s="942">
        <f t="shared" si="2"/>
        <v>1456.2693585930392</v>
      </c>
      <c r="F32" s="942"/>
      <c r="G32" s="943">
        <f t="shared" si="3"/>
        <v>6.8300000000000001E-3</v>
      </c>
      <c r="H32" s="929">
        <v>1</v>
      </c>
      <c r="I32" s="944">
        <f t="shared" si="0"/>
        <v>-9.9463197191904573</v>
      </c>
      <c r="J32" s="942"/>
      <c r="K32" s="942"/>
      <c r="L32" s="942">
        <f t="shared" si="1"/>
        <v>-1466.2156783122298</v>
      </c>
    </row>
    <row r="33" spans="2:12" ht="15.75">
      <c r="B33" s="921"/>
      <c r="C33" s="921"/>
      <c r="D33" s="921"/>
      <c r="E33" s="942"/>
      <c r="F33" s="942"/>
      <c r="G33" s="943"/>
      <c r="H33" s="921"/>
      <c r="I33" s="942">
        <f>SUM(I21:I32)</f>
        <v>-775.81293809685565</v>
      </c>
      <c r="J33" s="942"/>
      <c r="K33" s="942"/>
      <c r="L33" s="945">
        <f>SUM(L21:L32)</f>
        <v>-18251.045241213327</v>
      </c>
    </row>
    <row r="34" spans="2:12" ht="15.75">
      <c r="B34" s="921"/>
      <c r="C34" s="921"/>
      <c r="D34" s="921"/>
      <c r="E34" s="942"/>
      <c r="F34" s="942"/>
      <c r="G34" s="943"/>
      <c r="H34" s="921"/>
      <c r="I34" s="942"/>
      <c r="J34" s="942" t="s">
        <v>414</v>
      </c>
      <c r="K34" s="942"/>
      <c r="L34" s="131"/>
    </row>
    <row r="35" spans="2:12" ht="15.75">
      <c r="B35" s="921"/>
      <c r="C35" s="921"/>
      <c r="D35" s="921"/>
      <c r="E35" s="928"/>
      <c r="F35" s="928"/>
      <c r="G35" s="943"/>
      <c r="H35" s="921"/>
      <c r="I35" s="946" t="s">
        <v>586</v>
      </c>
      <c r="J35" s="942"/>
      <c r="K35" s="942"/>
      <c r="L35" s="942"/>
    </row>
    <row r="36" spans="2:12" ht="15.75">
      <c r="B36" s="921" t="s">
        <v>587</v>
      </c>
      <c r="C36" s="921" t="str">
        <f>"Year "&amp;TCOS!L4-1</f>
        <v>Year 2025</v>
      </c>
      <c r="D36" s="921"/>
      <c r="E36" s="928">
        <f>L33</f>
        <v>-18251.045241213327</v>
      </c>
      <c r="F36" s="928"/>
      <c r="G36" s="943">
        <f>G32</f>
        <v>6.8300000000000001E-3</v>
      </c>
      <c r="H36" s="929">
        <v>12</v>
      </c>
      <c r="I36" s="942">
        <f>+H36*G36*E36</f>
        <v>-1495.8556679698445</v>
      </c>
      <c r="J36" s="942"/>
      <c r="K36" s="942"/>
      <c r="L36" s="945">
        <f>+E36+I36</f>
        <v>-19746.900909183172</v>
      </c>
    </row>
    <row r="37" spans="2:12" ht="15.75">
      <c r="B37" s="921"/>
      <c r="C37" s="921"/>
      <c r="D37" s="921"/>
      <c r="E37" s="928"/>
      <c r="F37" s="928"/>
      <c r="G37" s="943"/>
      <c r="H37" s="921"/>
      <c r="I37" s="942"/>
      <c r="J37" s="942"/>
      <c r="K37" s="942"/>
      <c r="L37" s="942"/>
    </row>
    <row r="38" spans="2:12" ht="15.75">
      <c r="B38" s="947" t="s">
        <v>588</v>
      </c>
      <c r="C38" s="921"/>
      <c r="D38" s="921"/>
      <c r="E38" s="942"/>
      <c r="F38" s="942"/>
      <c r="G38" s="943"/>
      <c r="H38" s="921"/>
      <c r="I38" s="946" t="s">
        <v>573</v>
      </c>
      <c r="J38" s="942"/>
      <c r="K38" s="942"/>
      <c r="L38" s="942"/>
    </row>
    <row r="39" spans="2:12" ht="15.75">
      <c r="B39" s="921" t="s">
        <v>574</v>
      </c>
      <c r="C39" s="921" t="str">
        <f>"Year "&amp;TCOS!L4</f>
        <v>Year 2026</v>
      </c>
      <c r="D39" s="921"/>
      <c r="E39" s="948">
        <f>-L36</f>
        <v>19746.900909183172</v>
      </c>
      <c r="F39" s="928"/>
      <c r="G39" s="943">
        <f>G15</f>
        <v>6.8300000000000001E-3</v>
      </c>
      <c r="H39" s="921"/>
      <c r="I39" s="942">
        <f xml:space="preserve"> -G39*E39</f>
        <v>-134.87133320972106</v>
      </c>
      <c r="J39" s="942">
        <f>PMT(G39,12,L$36)</f>
        <v>1719.5419435729891</v>
      </c>
      <c r="K39" s="942"/>
      <c r="L39" s="942">
        <f>(+E39+E39*G39-J39)*-1</f>
        <v>-18162.230298819904</v>
      </c>
    </row>
    <row r="40" spans="2:12" ht="15.75">
      <c r="B40" s="921" t="s">
        <v>575</v>
      </c>
      <c r="C40" s="921" t="str">
        <f>+C39</f>
        <v>Year 2026</v>
      </c>
      <c r="D40" s="921"/>
      <c r="E40" s="928">
        <f>-L39</f>
        <v>18162.230298819904</v>
      </c>
      <c r="F40" s="928"/>
      <c r="G40" s="943">
        <f>+G39</f>
        <v>6.8300000000000001E-3</v>
      </c>
      <c r="H40" s="921"/>
      <c r="I40" s="942">
        <f xml:space="preserve"> -G40*E40</f>
        <v>-124.04803294093995</v>
      </c>
      <c r="J40" s="942">
        <f>J39</f>
        <v>1719.5419435729891</v>
      </c>
      <c r="K40" s="942"/>
      <c r="L40" s="942">
        <f t="shared" ref="L40:L50" si="4">(+E40+E40*G40-J40)*-1</f>
        <v>-16566.736388187855</v>
      </c>
    </row>
    <row r="41" spans="2:12" ht="15.75">
      <c r="B41" s="921" t="s">
        <v>576</v>
      </c>
      <c r="C41" s="921" t="str">
        <f>+C40</f>
        <v>Year 2026</v>
      </c>
      <c r="D41" s="921"/>
      <c r="E41" s="928">
        <f t="shared" ref="E41:E50" si="5">-L40</f>
        <v>16566.736388187855</v>
      </c>
      <c r="F41" s="928"/>
      <c r="G41" s="943">
        <f t="shared" ref="G41:G50" si="6">+G40</f>
        <v>6.8300000000000001E-3</v>
      </c>
      <c r="H41" s="921"/>
      <c r="I41" s="942">
        <f t="shared" ref="I41:I50" si="7" xml:space="preserve"> -G41*E41</f>
        <v>-113.15080953132305</v>
      </c>
      <c r="J41" s="942">
        <f t="shared" ref="J41:J50" si="8">J40</f>
        <v>1719.5419435729891</v>
      </c>
      <c r="K41" s="942"/>
      <c r="L41" s="942">
        <f t="shared" si="4"/>
        <v>-14960.345254146188</v>
      </c>
    </row>
    <row r="42" spans="2:12" ht="15.75">
      <c r="B42" s="921" t="s">
        <v>577</v>
      </c>
      <c r="C42" s="921" t="str">
        <f>+C41</f>
        <v>Year 2026</v>
      </c>
      <c r="D42" s="921"/>
      <c r="E42" s="928">
        <f t="shared" si="5"/>
        <v>14960.345254146188</v>
      </c>
      <c r="F42" s="928"/>
      <c r="G42" s="943">
        <f t="shared" si="6"/>
        <v>6.8300000000000001E-3</v>
      </c>
      <c r="H42" s="921"/>
      <c r="I42" s="942">
        <f t="shared" si="7"/>
        <v>-102.17915808581847</v>
      </c>
      <c r="J42" s="942">
        <f t="shared" si="8"/>
        <v>1719.5419435729891</v>
      </c>
      <c r="K42" s="942"/>
      <c r="L42" s="942">
        <f t="shared" si="4"/>
        <v>-13342.982468659018</v>
      </c>
    </row>
    <row r="43" spans="2:12" ht="15.75">
      <c r="B43" s="921" t="s">
        <v>578</v>
      </c>
      <c r="C43" s="921" t="str">
        <f>+C42</f>
        <v>Year 2026</v>
      </c>
      <c r="D43" s="921"/>
      <c r="E43" s="928">
        <f t="shared" si="5"/>
        <v>13342.982468659018</v>
      </c>
      <c r="F43" s="928"/>
      <c r="G43" s="943">
        <f t="shared" si="6"/>
        <v>6.8300000000000001E-3</v>
      </c>
      <c r="H43" s="921"/>
      <c r="I43" s="942">
        <f t="shared" si="7"/>
        <v>-91.132570260941094</v>
      </c>
      <c r="J43" s="942">
        <f>J42</f>
        <v>1719.5419435729891</v>
      </c>
      <c r="K43" s="942"/>
      <c r="L43" s="942">
        <f t="shared" si="4"/>
        <v>-11714.57309534697</v>
      </c>
    </row>
    <row r="44" spans="2:12" ht="15.75">
      <c r="B44" s="921" t="s">
        <v>579</v>
      </c>
      <c r="C44" s="921" t="str">
        <f>C43</f>
        <v>Year 2026</v>
      </c>
      <c r="D44" s="131"/>
      <c r="E44" s="928">
        <f t="shared" si="5"/>
        <v>11714.57309534697</v>
      </c>
      <c r="F44" s="928"/>
      <c r="G44" s="943">
        <f t="shared" si="6"/>
        <v>6.8300000000000001E-3</v>
      </c>
      <c r="H44" s="921"/>
      <c r="I44" s="942">
        <f t="shared" si="7"/>
        <v>-80.010534241219801</v>
      </c>
      <c r="J44" s="942">
        <f t="shared" si="8"/>
        <v>1719.5419435729891</v>
      </c>
      <c r="K44" s="942"/>
      <c r="L44" s="942">
        <f t="shared" si="4"/>
        <v>-10075.0416860152</v>
      </c>
    </row>
    <row r="45" spans="2:12" ht="15.75">
      <c r="B45" s="921" t="s">
        <v>580</v>
      </c>
      <c r="C45" s="921" t="str">
        <f t="shared" ref="C45:C50" si="9">+C44</f>
        <v>Year 2026</v>
      </c>
      <c r="D45" s="921"/>
      <c r="E45" s="928">
        <f t="shared" si="5"/>
        <v>10075.0416860152</v>
      </c>
      <c r="F45" s="928"/>
      <c r="G45" s="943">
        <f t="shared" si="6"/>
        <v>6.8300000000000001E-3</v>
      </c>
      <c r="H45" s="921"/>
      <c r="I45" s="942">
        <f t="shared" si="7"/>
        <v>-68.812534715483821</v>
      </c>
      <c r="J45" s="942">
        <f t="shared" si="8"/>
        <v>1719.5419435729891</v>
      </c>
      <c r="K45" s="942"/>
      <c r="L45" s="942">
        <f t="shared" si="4"/>
        <v>-8424.3122771576946</v>
      </c>
    </row>
    <row r="46" spans="2:12" ht="15.75">
      <c r="B46" s="921" t="s">
        <v>581</v>
      </c>
      <c r="C46" s="921" t="str">
        <f t="shared" si="9"/>
        <v>Year 2026</v>
      </c>
      <c r="D46" s="921"/>
      <c r="E46" s="928">
        <f t="shared" si="5"/>
        <v>8424.3122771576946</v>
      </c>
      <c r="F46" s="928"/>
      <c r="G46" s="943">
        <f t="shared" si="6"/>
        <v>6.8300000000000001E-3</v>
      </c>
      <c r="H46" s="921"/>
      <c r="I46" s="942">
        <f t="shared" si="7"/>
        <v>-57.538052852987057</v>
      </c>
      <c r="J46" s="942">
        <f t="shared" si="8"/>
        <v>1719.5419435729891</v>
      </c>
      <c r="K46" s="942"/>
      <c r="L46" s="942">
        <f t="shared" si="4"/>
        <v>-6762.3083864376931</v>
      </c>
    </row>
    <row r="47" spans="2:12" ht="15.75">
      <c r="B47" s="921" t="s">
        <v>582</v>
      </c>
      <c r="C47" s="921" t="str">
        <f t="shared" si="9"/>
        <v>Year 2026</v>
      </c>
      <c r="D47" s="921"/>
      <c r="E47" s="928">
        <f t="shared" si="5"/>
        <v>6762.3083864376931</v>
      </c>
      <c r="F47" s="928"/>
      <c r="G47" s="943">
        <f t="shared" si="6"/>
        <v>6.8300000000000001E-3</v>
      </c>
      <c r="H47" s="921"/>
      <c r="I47" s="942">
        <f t="shared" si="7"/>
        <v>-46.186566279369444</v>
      </c>
      <c r="J47" s="942">
        <f>J46</f>
        <v>1719.5419435729891</v>
      </c>
      <c r="K47" s="942"/>
      <c r="L47" s="942">
        <f t="shared" si="4"/>
        <v>-5088.9530091440738</v>
      </c>
    </row>
    <row r="48" spans="2:12" ht="15.75">
      <c r="B48" s="921" t="s">
        <v>583</v>
      </c>
      <c r="C48" s="921" t="str">
        <f t="shared" si="9"/>
        <v>Year 2026</v>
      </c>
      <c r="D48" s="921"/>
      <c r="E48" s="928">
        <f t="shared" si="5"/>
        <v>5088.9530091440738</v>
      </c>
      <c r="F48" s="928"/>
      <c r="G48" s="943">
        <f t="shared" si="6"/>
        <v>6.8300000000000001E-3</v>
      </c>
      <c r="H48" s="921"/>
      <c r="I48" s="942">
        <f t="shared" si="7"/>
        <v>-34.757549052454024</v>
      </c>
      <c r="J48" s="942">
        <f t="shared" si="8"/>
        <v>1719.5419435729891</v>
      </c>
      <c r="K48" s="942"/>
      <c r="L48" s="942">
        <f t="shared" si="4"/>
        <v>-3404.1686146235388</v>
      </c>
    </row>
    <row r="49" spans="2:12" ht="15.75">
      <c r="B49" s="921" t="s">
        <v>584</v>
      </c>
      <c r="C49" s="921" t="str">
        <f t="shared" si="9"/>
        <v>Year 2026</v>
      </c>
      <c r="D49" s="921"/>
      <c r="E49" s="928">
        <f t="shared" si="5"/>
        <v>3404.1686146235388</v>
      </c>
      <c r="F49" s="928"/>
      <c r="G49" s="943">
        <f t="shared" si="6"/>
        <v>6.8300000000000001E-3</v>
      </c>
      <c r="H49" s="921"/>
      <c r="I49" s="942">
        <f t="shared" si="7"/>
        <v>-23.250471637878771</v>
      </c>
      <c r="J49" s="942">
        <f t="shared" si="8"/>
        <v>1719.5419435729891</v>
      </c>
      <c r="K49" s="942"/>
      <c r="L49" s="942">
        <f t="shared" si="4"/>
        <v>-1707.8771426884286</v>
      </c>
    </row>
    <row r="50" spans="2:12" ht="15.75">
      <c r="B50" s="921" t="s">
        <v>585</v>
      </c>
      <c r="C50" s="921" t="str">
        <f t="shared" si="9"/>
        <v>Year 2026</v>
      </c>
      <c r="D50" s="921"/>
      <c r="E50" s="928">
        <f t="shared" si="5"/>
        <v>1707.8771426884286</v>
      </c>
      <c r="F50" s="928"/>
      <c r="G50" s="943">
        <f t="shared" si="6"/>
        <v>6.8300000000000001E-3</v>
      </c>
      <c r="H50" s="921"/>
      <c r="I50" s="944">
        <f t="shared" si="7"/>
        <v>-11.664800884561968</v>
      </c>
      <c r="J50" s="942">
        <f t="shared" si="8"/>
        <v>1719.5419435729891</v>
      </c>
      <c r="K50" s="942"/>
      <c r="L50" s="942">
        <f t="shared" si="4"/>
        <v>-1.5916157281026244E-12</v>
      </c>
    </row>
    <row r="51" spans="2:12" ht="15.75">
      <c r="B51" s="921"/>
      <c r="C51" s="921"/>
      <c r="D51" s="921"/>
      <c r="E51" s="928"/>
      <c r="F51" s="928"/>
      <c r="G51" s="943"/>
      <c r="H51" s="921"/>
      <c r="I51" s="942">
        <f>SUM(I39:I50)</f>
        <v>-887.60241369269852</v>
      </c>
      <c r="J51" s="942"/>
      <c r="K51" s="942"/>
      <c r="L51" s="942"/>
    </row>
    <row r="52" spans="2:12" ht="15">
      <c r="B52" s="131"/>
      <c r="C52" s="131"/>
      <c r="D52" s="131"/>
      <c r="E52" s="131"/>
      <c r="F52" s="131"/>
      <c r="G52" s="131"/>
      <c r="H52" s="131"/>
      <c r="I52" s="131"/>
      <c r="J52" s="949"/>
      <c r="K52" s="131"/>
      <c r="L52" s="131"/>
    </row>
    <row r="53" spans="2:12" ht="15.75">
      <c r="B53" s="921" t="s">
        <v>589</v>
      </c>
      <c r="C53" s="131"/>
      <c r="D53" s="131"/>
      <c r="E53" s="131"/>
      <c r="F53" s="131"/>
      <c r="G53" s="131"/>
      <c r="H53" s="131"/>
      <c r="I53" s="131"/>
      <c r="J53" s="950">
        <f>(SUM(J39:J50)*-1)</f>
        <v>-20634.503322875869</v>
      </c>
      <c r="K53" s="131"/>
      <c r="L53" s="131"/>
    </row>
    <row r="54" spans="2:12" ht="15.75">
      <c r="B54" s="921" t="s">
        <v>590</v>
      </c>
      <c r="C54" s="131"/>
      <c r="D54" s="131"/>
      <c r="E54" s="131"/>
      <c r="F54" s="131"/>
      <c r="G54" s="131"/>
      <c r="H54" s="131"/>
      <c r="I54" s="131"/>
      <c r="J54" s="951">
        <f>+I10</f>
        <v>17475.232303116471</v>
      </c>
      <c r="K54" s="131"/>
      <c r="L54" s="131"/>
    </row>
    <row r="55" spans="2:12" ht="15.75">
      <c r="B55" s="921" t="s">
        <v>591</v>
      </c>
      <c r="C55" s="131"/>
      <c r="D55" s="131"/>
      <c r="E55" s="131"/>
      <c r="F55" s="131"/>
      <c r="G55" s="131"/>
      <c r="H55" s="131"/>
      <c r="I55" s="131"/>
      <c r="J55" s="950">
        <f>(J53+J54)</f>
        <v>-3159.2710197593988</v>
      </c>
      <c r="K55" s="131"/>
      <c r="L55" s="131"/>
    </row>
    <row r="57" spans="2:12" ht="48" customHeight="1">
      <c r="B57" s="1226" t="s">
        <v>592</v>
      </c>
      <c r="C57" s="1226"/>
      <c r="D57" s="1226"/>
      <c r="E57" s="1226"/>
      <c r="F57" s="1226"/>
      <c r="G57" s="1226"/>
      <c r="H57" s="1226"/>
      <c r="I57" s="1226"/>
      <c r="J57" s="1226"/>
      <c r="K57" s="1226"/>
      <c r="L57" s="1226"/>
    </row>
  </sheetData>
  <mergeCells count="5">
    <mergeCell ref="B1:L1"/>
    <mergeCell ref="B2:L2"/>
    <mergeCell ref="B3:L3"/>
    <mergeCell ref="E4:H4"/>
    <mergeCell ref="B57:L57"/>
  </mergeCells>
  <pageMargins left="0.7" right="0.7" top="0.75" bottom="0.75" header="0.3" footer="0.3"/>
  <pageSetup scale="53"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dimension ref="B1:L57"/>
  <sheetViews>
    <sheetView view="pageBreakPreview" topLeftCell="A8" zoomScale="60" zoomScaleNormal="100" workbookViewId="0">
      <selection activeCell="B10" sqref="B10"/>
    </sheetView>
  </sheetViews>
  <sheetFormatPr defaultRowHeight="12.75"/>
  <cols>
    <col min="2" max="2" width="28.140625" customWidth="1"/>
    <col min="5" max="5" width="26.7109375" customWidth="1"/>
    <col min="7" max="7" width="16.140625" customWidth="1"/>
    <col min="9" max="9" width="27" customWidth="1"/>
    <col min="10" max="10" width="16.7109375" customWidth="1"/>
    <col min="12" max="12" width="19.7109375" customWidth="1"/>
  </cols>
  <sheetData>
    <row r="1" spans="2:12" ht="15.75">
      <c r="B1" s="1224" t="s">
        <v>810</v>
      </c>
      <c r="C1" s="1224"/>
      <c r="D1" s="1224"/>
      <c r="E1" s="1224"/>
      <c r="F1" s="1224"/>
      <c r="G1" s="1224"/>
      <c r="H1" s="1224"/>
      <c r="I1" s="1224"/>
      <c r="J1" s="1224"/>
      <c r="K1" s="1224"/>
      <c r="L1" s="1224"/>
    </row>
    <row r="2" spans="2:12" ht="15.75">
      <c r="B2" s="1225" t="s">
        <v>563</v>
      </c>
      <c r="C2" s="1225"/>
      <c r="D2" s="1225"/>
      <c r="E2" s="1225"/>
      <c r="F2" s="1225"/>
      <c r="G2" s="1225"/>
      <c r="H2" s="1225"/>
      <c r="I2" s="1225"/>
      <c r="J2" s="1225"/>
      <c r="K2" s="1225"/>
      <c r="L2" s="1225"/>
    </row>
    <row r="3" spans="2:12" ht="15.75">
      <c r="B3" s="1225" t="s">
        <v>593</v>
      </c>
      <c r="C3" s="1225"/>
      <c r="D3" s="1225"/>
      <c r="E3" s="1225"/>
      <c r="F3" s="1225"/>
      <c r="G3" s="1225"/>
      <c r="H3" s="1225"/>
      <c r="I3" s="1225"/>
      <c r="J3" s="1225"/>
      <c r="K3" s="1225"/>
      <c r="L3" s="1225"/>
    </row>
    <row r="4" spans="2:12" ht="15.75">
      <c r="B4" s="131"/>
      <c r="C4" s="131"/>
      <c r="D4" s="131"/>
      <c r="E4" s="1225"/>
      <c r="F4" s="1225"/>
      <c r="G4" s="1225"/>
      <c r="H4" s="1225"/>
      <c r="I4" s="131"/>
      <c r="J4" s="131"/>
      <c r="K4" s="131"/>
      <c r="L4" s="131"/>
    </row>
    <row r="7" spans="2:12" ht="16.5" thickBot="1">
      <c r="B7" s="920"/>
      <c r="C7" s="921"/>
      <c r="D7" s="921"/>
      <c r="E7" s="921"/>
      <c r="F7" s="921"/>
      <c r="G7" s="921"/>
      <c r="H7" s="921"/>
      <c r="I7" s="921"/>
      <c r="J7" s="921"/>
      <c r="K7" s="921"/>
      <c r="L7" s="921"/>
    </row>
    <row r="8" spans="2:12" ht="47.25">
      <c r="B8" s="922" t="str">
        <f>'WS R Interest'!B8</f>
        <v>Reconciliation Revenue Requirement For Year 2024 Available May 25, 2025</v>
      </c>
      <c r="C8" s="921"/>
      <c r="D8" s="921"/>
      <c r="E8" s="922" t="str">
        <f>'WS R Interest'!E8</f>
        <v>2024 Forecasted Revenue Requirement For Year 2024</v>
      </c>
      <c r="F8" s="921"/>
      <c r="G8" s="921"/>
      <c r="H8" s="131"/>
      <c r="I8" s="922" t="s">
        <v>565</v>
      </c>
      <c r="J8" s="131"/>
      <c r="K8" s="131"/>
      <c r="L8" s="131"/>
    </row>
    <row r="9" spans="2:12" ht="15.75">
      <c r="B9" s="1031" t="s">
        <v>414</v>
      </c>
      <c r="C9" s="921"/>
      <c r="D9" s="921"/>
      <c r="E9" s="1031"/>
      <c r="F9" s="921"/>
      <c r="G9" s="921"/>
      <c r="H9" s="131"/>
      <c r="I9" s="923"/>
      <c r="J9" s="131"/>
      <c r="K9" s="131"/>
      <c r="L9" s="131"/>
    </row>
    <row r="10" spans="2:12" ht="16.5" thickBot="1">
      <c r="B10" s="952">
        <v>5006131.9942814708</v>
      </c>
      <c r="C10" s="1032" t="s">
        <v>811</v>
      </c>
      <c r="D10" s="1033"/>
      <c r="E10" s="952">
        <v>4876605.2974782176</v>
      </c>
      <c r="F10" s="924"/>
      <c r="G10" s="925" t="s">
        <v>812</v>
      </c>
      <c r="H10" s="926"/>
      <c r="I10" s="927">
        <f>IF(B10=0,0,E10-B10)</f>
        <v>-129526.69680325314</v>
      </c>
      <c r="J10" s="131"/>
      <c r="K10" s="131"/>
      <c r="L10" s="131"/>
    </row>
    <row r="11" spans="2:12" ht="15.75">
      <c r="B11" s="928"/>
      <c r="C11" s="929"/>
      <c r="D11" s="929"/>
      <c r="E11" s="928"/>
      <c r="F11" s="928"/>
      <c r="G11" s="929"/>
      <c r="H11" s="928"/>
      <c r="I11" s="131"/>
      <c r="J11" s="131"/>
      <c r="K11" s="131"/>
      <c r="L11" s="131"/>
    </row>
    <row r="12" spans="2:12" ht="16.5" thickBot="1">
      <c r="B12" s="930"/>
      <c r="C12" s="931"/>
      <c r="D12" s="931"/>
      <c r="E12" s="930"/>
      <c r="F12" s="930"/>
      <c r="G12" s="931"/>
      <c r="H12" s="930"/>
      <c r="I12" s="932"/>
      <c r="J12" s="932"/>
      <c r="K12" s="932"/>
      <c r="L12" s="932"/>
    </row>
    <row r="13" spans="2:12" ht="15.75">
      <c r="B13" s="933"/>
      <c r="C13" s="929"/>
      <c r="D13" s="929"/>
      <c r="E13" s="928"/>
      <c r="F13" s="928"/>
      <c r="G13" s="929"/>
      <c r="H13" s="928"/>
      <c r="I13" s="131"/>
      <c r="J13" s="131"/>
      <c r="K13" s="131"/>
      <c r="L13" s="131"/>
    </row>
    <row r="14" spans="2:12" ht="47.25">
      <c r="B14" s="934" t="s">
        <v>623</v>
      </c>
      <c r="C14" s="929"/>
      <c r="D14" s="929"/>
      <c r="E14" s="935" t="s">
        <v>566</v>
      </c>
      <c r="F14" s="928"/>
      <c r="G14" s="935" t="s">
        <v>567</v>
      </c>
      <c r="H14" s="936" t="s">
        <v>568</v>
      </c>
      <c r="I14" s="937" t="s">
        <v>569</v>
      </c>
      <c r="J14" s="935" t="s">
        <v>570</v>
      </c>
      <c r="K14" s="938"/>
      <c r="L14" s="935" t="s">
        <v>571</v>
      </c>
    </row>
    <row r="15" spans="2:12" ht="15.75">
      <c r="B15" s="934" t="s">
        <v>624</v>
      </c>
      <c r="C15" s="929"/>
      <c r="D15" s="929"/>
      <c r="E15" s="131"/>
      <c r="F15" s="939"/>
      <c r="G15" s="953">
        <v>6.8300000000000001E-3</v>
      </c>
      <c r="I15" s="131"/>
      <c r="J15" s="131"/>
      <c r="K15" s="131"/>
      <c r="L15" s="131"/>
    </row>
    <row r="16" spans="2:12" ht="15.75">
      <c r="B16" s="934"/>
      <c r="C16" s="929"/>
      <c r="D16" s="929"/>
      <c r="E16" s="131"/>
      <c r="F16" s="939"/>
      <c r="G16" s="939"/>
      <c r="H16" s="928"/>
      <c r="I16" s="131"/>
      <c r="J16" s="131"/>
      <c r="K16" s="131"/>
      <c r="L16" s="131"/>
    </row>
    <row r="17" spans="2:12" ht="15.75">
      <c r="B17" s="934" t="s">
        <v>965</v>
      </c>
      <c r="C17" s="929"/>
      <c r="D17" s="929"/>
      <c r="E17" s="131"/>
      <c r="F17" s="939"/>
      <c r="G17" s="939"/>
      <c r="H17" s="928"/>
      <c r="I17" s="131"/>
      <c r="J17" s="131"/>
      <c r="K17" s="131"/>
      <c r="L17" s="131"/>
    </row>
    <row r="18" spans="2:12" ht="15.75">
      <c r="B18" s="940" t="s">
        <v>414</v>
      </c>
      <c r="C18" s="929"/>
      <c r="D18" s="929"/>
      <c r="E18" s="929"/>
      <c r="F18" s="929"/>
      <c r="G18" s="929" t="s">
        <v>414</v>
      </c>
      <c r="H18" s="131"/>
      <c r="I18" s="131"/>
      <c r="J18" s="131"/>
      <c r="K18" s="131"/>
      <c r="L18" s="131"/>
    </row>
    <row r="19" spans="2:12" ht="15.75">
      <c r="B19" s="941"/>
      <c r="C19" s="929"/>
      <c r="D19" s="929"/>
      <c r="E19" s="929"/>
      <c r="F19" s="929"/>
      <c r="G19" s="131"/>
      <c r="H19" s="131"/>
      <c r="I19" s="936"/>
      <c r="J19" s="929"/>
      <c r="K19" s="929"/>
      <c r="L19" s="929"/>
    </row>
    <row r="20" spans="2:12" ht="15.75">
      <c r="B20" s="941" t="s">
        <v>572</v>
      </c>
      <c r="C20" s="929"/>
      <c r="D20" s="929"/>
      <c r="E20" s="929"/>
      <c r="F20" s="929"/>
      <c r="G20" s="131"/>
      <c r="H20" s="131"/>
      <c r="I20" s="936" t="s">
        <v>573</v>
      </c>
      <c r="J20" s="929"/>
      <c r="K20" s="929"/>
      <c r="L20" s="929"/>
    </row>
    <row r="21" spans="2:12" ht="15.75">
      <c r="B21" s="921" t="s">
        <v>574</v>
      </c>
      <c r="C21" s="921" t="str">
        <f>"Year "&amp;TCOS!L4-2</f>
        <v>Year 2024</v>
      </c>
      <c r="D21" s="921"/>
      <c r="E21" s="942">
        <f>I10/12</f>
        <v>-10793.891400271095</v>
      </c>
      <c r="F21" s="942"/>
      <c r="G21" s="943">
        <f>G15</f>
        <v>6.8300000000000001E-3</v>
      </c>
      <c r="H21" s="929">
        <v>12</v>
      </c>
      <c r="I21" s="942">
        <f>G21*E21*H21*-1</f>
        <v>884.66733916621888</v>
      </c>
      <c r="J21" s="942"/>
      <c r="K21" s="942"/>
      <c r="L21" s="942">
        <f>(-I21+E21)*-1</f>
        <v>11678.558739437314</v>
      </c>
    </row>
    <row r="22" spans="2:12" ht="15.75">
      <c r="B22" s="921" t="s">
        <v>575</v>
      </c>
      <c r="C22" s="921" t="str">
        <f>C21</f>
        <v>Year 2024</v>
      </c>
      <c r="D22" s="921"/>
      <c r="E22" s="942">
        <f>+E21</f>
        <v>-10793.891400271095</v>
      </c>
      <c r="F22" s="942"/>
      <c r="G22" s="943">
        <f>+G21</f>
        <v>6.8300000000000001E-3</v>
      </c>
      <c r="H22" s="929">
        <v>11</v>
      </c>
      <c r="I22" s="942">
        <f t="shared" ref="I22:I32" si="0">G22*E22*H22*-1</f>
        <v>810.94506090236735</v>
      </c>
      <c r="J22" s="942"/>
      <c r="K22" s="942"/>
      <c r="L22" s="942">
        <f t="shared" ref="L22:L32" si="1">(-I22+E22)*-1</f>
        <v>11604.836461173463</v>
      </c>
    </row>
    <row r="23" spans="2:12" ht="15.75">
      <c r="B23" s="921" t="s">
        <v>576</v>
      </c>
      <c r="C23" s="921" t="str">
        <f>C21</f>
        <v>Year 2024</v>
      </c>
      <c r="D23" s="921"/>
      <c r="E23" s="942">
        <f t="shared" ref="E23:E32" si="2">+E22</f>
        <v>-10793.891400271095</v>
      </c>
      <c r="F23" s="942"/>
      <c r="G23" s="943">
        <f t="shared" ref="G23:G32" si="3">+G22</f>
        <v>6.8300000000000001E-3</v>
      </c>
      <c r="H23" s="929">
        <v>10</v>
      </c>
      <c r="I23" s="942">
        <f t="shared" si="0"/>
        <v>737.22278263851581</v>
      </c>
      <c r="J23" s="942"/>
      <c r="K23" s="942"/>
      <c r="L23" s="942">
        <f t="shared" si="1"/>
        <v>11531.11418290961</v>
      </c>
    </row>
    <row r="24" spans="2:12" ht="15.75">
      <c r="B24" s="921" t="s">
        <v>577</v>
      </c>
      <c r="C24" s="921" t="str">
        <f>C21</f>
        <v>Year 2024</v>
      </c>
      <c r="D24" s="921"/>
      <c r="E24" s="942">
        <f t="shared" si="2"/>
        <v>-10793.891400271095</v>
      </c>
      <c r="F24" s="942"/>
      <c r="G24" s="943">
        <f t="shared" si="3"/>
        <v>6.8300000000000001E-3</v>
      </c>
      <c r="H24" s="929">
        <v>9</v>
      </c>
      <c r="I24" s="942">
        <f t="shared" si="0"/>
        <v>663.50050437466416</v>
      </c>
      <c r="J24" s="942"/>
      <c r="K24" s="942"/>
      <c r="L24" s="942">
        <f t="shared" si="1"/>
        <v>11457.391904645759</v>
      </c>
    </row>
    <row r="25" spans="2:12" ht="15.75">
      <c r="B25" s="921" t="s">
        <v>578</v>
      </c>
      <c r="C25" s="921" t="str">
        <f>C21</f>
        <v>Year 2024</v>
      </c>
      <c r="D25" s="921"/>
      <c r="E25" s="942">
        <f t="shared" si="2"/>
        <v>-10793.891400271095</v>
      </c>
      <c r="F25" s="942"/>
      <c r="G25" s="943">
        <f t="shared" si="3"/>
        <v>6.8300000000000001E-3</v>
      </c>
      <c r="H25" s="929">
        <v>8</v>
      </c>
      <c r="I25" s="942">
        <f t="shared" si="0"/>
        <v>589.77822611081262</v>
      </c>
      <c r="J25" s="942"/>
      <c r="K25" s="942"/>
      <c r="L25" s="942">
        <f t="shared" si="1"/>
        <v>11383.669626381909</v>
      </c>
    </row>
    <row r="26" spans="2:12" ht="15.75">
      <c r="B26" s="921" t="s">
        <v>579</v>
      </c>
      <c r="C26" s="921" t="str">
        <f>C21</f>
        <v>Year 2024</v>
      </c>
      <c r="D26" s="921"/>
      <c r="E26" s="942">
        <f t="shared" si="2"/>
        <v>-10793.891400271095</v>
      </c>
      <c r="F26" s="942"/>
      <c r="G26" s="943">
        <f t="shared" si="3"/>
        <v>6.8300000000000001E-3</v>
      </c>
      <c r="H26" s="929">
        <v>7</v>
      </c>
      <c r="I26" s="942">
        <f t="shared" si="0"/>
        <v>516.05594784696109</v>
      </c>
      <c r="J26" s="942"/>
      <c r="K26" s="942"/>
      <c r="L26" s="942">
        <f t="shared" si="1"/>
        <v>11309.947348118056</v>
      </c>
    </row>
    <row r="27" spans="2:12" ht="15.75">
      <c r="B27" s="921" t="s">
        <v>580</v>
      </c>
      <c r="C27" s="921" t="str">
        <f>C21</f>
        <v>Year 2024</v>
      </c>
      <c r="D27" s="921"/>
      <c r="E27" s="942">
        <f t="shared" si="2"/>
        <v>-10793.891400271095</v>
      </c>
      <c r="F27" s="942"/>
      <c r="G27" s="943">
        <f t="shared" si="3"/>
        <v>6.8300000000000001E-3</v>
      </c>
      <c r="H27" s="929">
        <v>6</v>
      </c>
      <c r="I27" s="942">
        <f t="shared" si="0"/>
        <v>442.33366958310944</v>
      </c>
      <c r="J27" s="942"/>
      <c r="K27" s="942"/>
      <c r="L27" s="942">
        <f t="shared" si="1"/>
        <v>11236.225069854205</v>
      </c>
    </row>
    <row r="28" spans="2:12" ht="15.75">
      <c r="B28" s="921" t="s">
        <v>581</v>
      </c>
      <c r="C28" s="921" t="str">
        <f>C21</f>
        <v>Year 2024</v>
      </c>
      <c r="D28" s="921"/>
      <c r="E28" s="942">
        <f t="shared" si="2"/>
        <v>-10793.891400271095</v>
      </c>
      <c r="F28" s="942"/>
      <c r="G28" s="943">
        <f t="shared" si="3"/>
        <v>6.8300000000000001E-3</v>
      </c>
      <c r="H28" s="929">
        <v>5</v>
      </c>
      <c r="I28" s="942">
        <f t="shared" si="0"/>
        <v>368.6113913192579</v>
      </c>
      <c r="J28" s="942"/>
      <c r="K28" s="942"/>
      <c r="L28" s="942">
        <f t="shared" si="1"/>
        <v>11162.502791590354</v>
      </c>
    </row>
    <row r="29" spans="2:12" ht="15.75">
      <c r="B29" s="921" t="s">
        <v>582</v>
      </c>
      <c r="C29" s="921" t="str">
        <f>C21</f>
        <v>Year 2024</v>
      </c>
      <c r="D29" s="921"/>
      <c r="E29" s="942">
        <f t="shared" si="2"/>
        <v>-10793.891400271095</v>
      </c>
      <c r="F29" s="942"/>
      <c r="G29" s="943">
        <f t="shared" si="3"/>
        <v>6.8300000000000001E-3</v>
      </c>
      <c r="H29" s="929">
        <v>4</v>
      </c>
      <c r="I29" s="942">
        <f t="shared" si="0"/>
        <v>294.88911305540631</v>
      </c>
      <c r="J29" s="942"/>
      <c r="K29" s="942"/>
      <c r="L29" s="942">
        <f t="shared" si="1"/>
        <v>11088.780513326501</v>
      </c>
    </row>
    <row r="30" spans="2:12" ht="15.75">
      <c r="B30" s="921" t="s">
        <v>583</v>
      </c>
      <c r="C30" s="921" t="str">
        <f>C21</f>
        <v>Year 2024</v>
      </c>
      <c r="D30" s="921"/>
      <c r="E30" s="942">
        <f t="shared" si="2"/>
        <v>-10793.891400271095</v>
      </c>
      <c r="F30" s="942"/>
      <c r="G30" s="943">
        <f t="shared" si="3"/>
        <v>6.8300000000000001E-3</v>
      </c>
      <c r="H30" s="929">
        <v>3</v>
      </c>
      <c r="I30" s="942">
        <f t="shared" si="0"/>
        <v>221.16683479155472</v>
      </c>
      <c r="J30" s="942"/>
      <c r="K30" s="942"/>
      <c r="L30" s="942">
        <f t="shared" si="1"/>
        <v>11015.05823506265</v>
      </c>
    </row>
    <row r="31" spans="2:12" ht="15.75">
      <c r="B31" s="921" t="s">
        <v>584</v>
      </c>
      <c r="C31" s="921" t="str">
        <f>C21</f>
        <v>Year 2024</v>
      </c>
      <c r="D31" s="921"/>
      <c r="E31" s="942">
        <f t="shared" si="2"/>
        <v>-10793.891400271095</v>
      </c>
      <c r="F31" s="942"/>
      <c r="G31" s="943">
        <f t="shared" si="3"/>
        <v>6.8300000000000001E-3</v>
      </c>
      <c r="H31" s="929">
        <v>2</v>
      </c>
      <c r="I31" s="942">
        <f t="shared" si="0"/>
        <v>147.44455652770316</v>
      </c>
      <c r="J31" s="942"/>
      <c r="K31" s="942"/>
      <c r="L31" s="942">
        <f t="shared" si="1"/>
        <v>10941.335956798799</v>
      </c>
    </row>
    <row r="32" spans="2:12" ht="15.75">
      <c r="B32" s="921" t="s">
        <v>585</v>
      </c>
      <c r="C32" s="921" t="str">
        <f>C21</f>
        <v>Year 2024</v>
      </c>
      <c r="D32" s="921"/>
      <c r="E32" s="942">
        <f t="shared" si="2"/>
        <v>-10793.891400271095</v>
      </c>
      <c r="F32" s="942"/>
      <c r="G32" s="943">
        <f t="shared" si="3"/>
        <v>6.8300000000000001E-3</v>
      </c>
      <c r="H32" s="929">
        <v>1</v>
      </c>
      <c r="I32" s="944">
        <f t="shared" si="0"/>
        <v>73.722278263851578</v>
      </c>
      <c r="J32" s="942"/>
      <c r="K32" s="942"/>
      <c r="L32" s="942">
        <f t="shared" si="1"/>
        <v>10867.613678534946</v>
      </c>
    </row>
    <row r="33" spans="2:12" ht="15.75">
      <c r="B33" s="921"/>
      <c r="C33" s="921"/>
      <c r="D33" s="921"/>
      <c r="E33" s="942"/>
      <c r="F33" s="942"/>
      <c r="G33" s="943"/>
      <c r="H33" s="921"/>
      <c r="I33" s="942">
        <f>SUM(I21:I32)</f>
        <v>5750.3377045804227</v>
      </c>
      <c r="J33" s="942"/>
      <c r="K33" s="942"/>
      <c r="L33" s="945">
        <f>SUM(L21:L32)</f>
        <v>135277.03450783357</v>
      </c>
    </row>
    <row r="34" spans="2:12" ht="15.75">
      <c r="B34" s="921"/>
      <c r="C34" s="921"/>
      <c r="D34" s="921"/>
      <c r="E34" s="942"/>
      <c r="F34" s="942"/>
      <c r="G34" s="943"/>
      <c r="H34" s="921"/>
      <c r="I34" s="942"/>
      <c r="J34" s="942" t="s">
        <v>414</v>
      </c>
      <c r="K34" s="942"/>
      <c r="L34" s="131"/>
    </row>
    <row r="35" spans="2:12" ht="15.75">
      <c r="B35" s="921"/>
      <c r="C35" s="921"/>
      <c r="D35" s="921"/>
      <c r="E35" s="928"/>
      <c r="F35" s="928"/>
      <c r="G35" s="943"/>
      <c r="H35" s="921"/>
      <c r="I35" s="946" t="s">
        <v>586</v>
      </c>
      <c r="J35" s="942"/>
      <c r="K35" s="942"/>
      <c r="L35" s="942"/>
    </row>
    <row r="36" spans="2:12" ht="15.75">
      <c r="B36" s="921" t="s">
        <v>587</v>
      </c>
      <c r="C36" s="921" t="str">
        <f>"Year "&amp;TCOS!L4-1</f>
        <v>Year 2025</v>
      </c>
      <c r="D36" s="921"/>
      <c r="E36" s="928">
        <f>L33</f>
        <v>135277.03450783357</v>
      </c>
      <c r="F36" s="928"/>
      <c r="G36" s="943">
        <f>G32</f>
        <v>6.8300000000000001E-3</v>
      </c>
      <c r="H36" s="929">
        <v>12</v>
      </c>
      <c r="I36" s="942">
        <f>+H36*G36*E36</f>
        <v>11087.305748262041</v>
      </c>
      <c r="J36" s="942"/>
      <c r="K36" s="942"/>
      <c r="L36" s="945">
        <f>+E36+I36</f>
        <v>146364.3402560956</v>
      </c>
    </row>
    <row r="37" spans="2:12" ht="15.75">
      <c r="B37" s="921"/>
      <c r="C37" s="921"/>
      <c r="D37" s="921"/>
      <c r="E37" s="928"/>
      <c r="F37" s="928"/>
      <c r="G37" s="943"/>
      <c r="H37" s="921"/>
      <c r="I37" s="942"/>
      <c r="J37" s="942"/>
      <c r="K37" s="942"/>
      <c r="L37" s="942"/>
    </row>
    <row r="38" spans="2:12" ht="15.75">
      <c r="B38" s="947" t="s">
        <v>588</v>
      </c>
      <c r="C38" s="921"/>
      <c r="D38" s="921"/>
      <c r="E38" s="942"/>
      <c r="F38" s="942"/>
      <c r="G38" s="943"/>
      <c r="H38" s="921"/>
      <c r="I38" s="946" t="s">
        <v>573</v>
      </c>
      <c r="J38" s="942"/>
      <c r="K38" s="942"/>
      <c r="L38" s="942"/>
    </row>
    <row r="39" spans="2:12" ht="15.75">
      <c r="B39" s="921" t="s">
        <v>574</v>
      </c>
      <c r="C39" s="921" t="str">
        <f>"Year "&amp;TCOS!L4</f>
        <v>Year 2026</v>
      </c>
      <c r="D39" s="921"/>
      <c r="E39" s="948">
        <f>-L36</f>
        <v>-146364.3402560956</v>
      </c>
      <c r="F39" s="928"/>
      <c r="G39" s="943">
        <f>G15</f>
        <v>6.8300000000000001E-3</v>
      </c>
      <c r="H39" s="921"/>
      <c r="I39" s="942">
        <f xml:space="preserve"> -G39*E39</f>
        <v>999.66844394913301</v>
      </c>
      <c r="J39" s="942">
        <f>PMT(G39,12,L$36)</f>
        <v>-12745.271942733196</v>
      </c>
      <c r="K39" s="942"/>
      <c r="L39" s="942">
        <f>(+E39+E39*G39-J39)*-1</f>
        <v>134618.73675731153</v>
      </c>
    </row>
    <row r="40" spans="2:12" ht="15.75">
      <c r="B40" s="921" t="s">
        <v>575</v>
      </c>
      <c r="C40" s="921" t="str">
        <f>+C39</f>
        <v>Year 2026</v>
      </c>
      <c r="D40" s="921"/>
      <c r="E40" s="928">
        <f>-L39</f>
        <v>-134618.73675731153</v>
      </c>
      <c r="F40" s="928"/>
      <c r="G40" s="943">
        <f>+G39</f>
        <v>6.8300000000000001E-3</v>
      </c>
      <c r="H40" s="921"/>
      <c r="I40" s="942">
        <f xml:space="preserve"> -G40*E40</f>
        <v>919.44597205243781</v>
      </c>
      <c r="J40" s="942">
        <f>J39</f>
        <v>-12745.271942733196</v>
      </c>
      <c r="K40" s="942"/>
      <c r="L40" s="942">
        <f t="shared" ref="L40:L50" si="4">(+E40+E40*G40-J40)*-1</f>
        <v>122792.91078663077</v>
      </c>
    </row>
    <row r="41" spans="2:12" ht="15.75">
      <c r="B41" s="921" t="s">
        <v>576</v>
      </c>
      <c r="C41" s="921" t="str">
        <f>+C40</f>
        <v>Year 2026</v>
      </c>
      <c r="D41" s="921"/>
      <c r="E41" s="928">
        <f t="shared" ref="E41:E50" si="5">-L40</f>
        <v>-122792.91078663077</v>
      </c>
      <c r="F41" s="928"/>
      <c r="G41" s="943">
        <f t="shared" ref="G41:G50" si="6">+G40</f>
        <v>6.8300000000000001E-3</v>
      </c>
      <c r="H41" s="921"/>
      <c r="I41" s="942">
        <f t="shared" ref="I41:I50" si="7" xml:space="preserve"> -G41*E41</f>
        <v>838.67558067268817</v>
      </c>
      <c r="J41" s="942">
        <f t="shared" ref="J41:J50" si="8">J40</f>
        <v>-12745.271942733196</v>
      </c>
      <c r="K41" s="942"/>
      <c r="L41" s="942">
        <f t="shared" si="4"/>
        <v>110886.31442457027</v>
      </c>
    </row>
    <row r="42" spans="2:12" ht="15.75">
      <c r="B42" s="921" t="s">
        <v>577</v>
      </c>
      <c r="C42" s="921" t="str">
        <f>+C41</f>
        <v>Year 2026</v>
      </c>
      <c r="D42" s="921"/>
      <c r="E42" s="928">
        <f t="shared" si="5"/>
        <v>-110886.31442457027</v>
      </c>
      <c r="F42" s="928"/>
      <c r="G42" s="943">
        <f t="shared" si="6"/>
        <v>6.8300000000000001E-3</v>
      </c>
      <c r="H42" s="921"/>
      <c r="I42" s="942">
        <f t="shared" si="7"/>
        <v>757.35352751981497</v>
      </c>
      <c r="J42" s="942">
        <f t="shared" si="8"/>
        <v>-12745.271942733196</v>
      </c>
      <c r="K42" s="942"/>
      <c r="L42" s="942">
        <f t="shared" si="4"/>
        <v>98898.396009356889</v>
      </c>
    </row>
    <row r="43" spans="2:12" ht="15.75">
      <c r="B43" s="921" t="s">
        <v>578</v>
      </c>
      <c r="C43" s="921" t="str">
        <f>+C42</f>
        <v>Year 2026</v>
      </c>
      <c r="D43" s="921"/>
      <c r="E43" s="928">
        <f t="shared" si="5"/>
        <v>-98898.396009356889</v>
      </c>
      <c r="F43" s="928"/>
      <c r="G43" s="943">
        <f t="shared" si="6"/>
        <v>6.8300000000000001E-3</v>
      </c>
      <c r="H43" s="921"/>
      <c r="I43" s="942">
        <f t="shared" si="7"/>
        <v>675.47604474390755</v>
      </c>
      <c r="J43" s="942">
        <f>J42</f>
        <v>-12745.271942733196</v>
      </c>
      <c r="K43" s="942"/>
      <c r="L43" s="942">
        <f t="shared" si="4"/>
        <v>86828.600111367603</v>
      </c>
    </row>
    <row r="44" spans="2:12" ht="15.75">
      <c r="B44" s="921" t="s">
        <v>579</v>
      </c>
      <c r="C44" s="921" t="str">
        <f>C43</f>
        <v>Year 2026</v>
      </c>
      <c r="D44" s="131"/>
      <c r="E44" s="928">
        <f t="shared" si="5"/>
        <v>-86828.600111367603</v>
      </c>
      <c r="F44" s="928"/>
      <c r="G44" s="943">
        <f t="shared" si="6"/>
        <v>6.8300000000000001E-3</v>
      </c>
      <c r="H44" s="921"/>
      <c r="I44" s="942">
        <f t="shared" si="7"/>
        <v>593.0393387606407</v>
      </c>
      <c r="J44" s="942">
        <f t="shared" si="8"/>
        <v>-12745.271942733196</v>
      </c>
      <c r="K44" s="942"/>
      <c r="L44" s="942">
        <f t="shared" si="4"/>
        <v>74676.367507395058</v>
      </c>
    </row>
    <row r="45" spans="2:12" ht="15.75">
      <c r="B45" s="921" t="s">
        <v>580</v>
      </c>
      <c r="C45" s="921" t="str">
        <f t="shared" ref="C45:C50" si="9">+C44</f>
        <v>Year 2026</v>
      </c>
      <c r="D45" s="921"/>
      <c r="E45" s="928">
        <f t="shared" si="5"/>
        <v>-74676.367507395058</v>
      </c>
      <c r="F45" s="928"/>
      <c r="G45" s="943">
        <f t="shared" si="6"/>
        <v>6.8300000000000001E-3</v>
      </c>
      <c r="H45" s="921"/>
      <c r="I45" s="942">
        <f t="shared" si="7"/>
        <v>510.03959007550827</v>
      </c>
      <c r="J45" s="942">
        <f t="shared" si="8"/>
        <v>-12745.271942733196</v>
      </c>
      <c r="K45" s="942"/>
      <c r="L45" s="942">
        <f t="shared" si="4"/>
        <v>62441.135154737371</v>
      </c>
    </row>
    <row r="46" spans="2:12" ht="15.75">
      <c r="B46" s="921" t="s">
        <v>581</v>
      </c>
      <c r="C46" s="921" t="str">
        <f t="shared" si="9"/>
        <v>Year 2026</v>
      </c>
      <c r="D46" s="921"/>
      <c r="E46" s="928">
        <f t="shared" si="5"/>
        <v>-62441.135154737371</v>
      </c>
      <c r="F46" s="928"/>
      <c r="G46" s="943">
        <f t="shared" si="6"/>
        <v>6.8300000000000001E-3</v>
      </c>
      <c r="H46" s="921"/>
      <c r="I46" s="942">
        <f t="shared" si="7"/>
        <v>426.47295310685627</v>
      </c>
      <c r="J46" s="942">
        <f t="shared" si="8"/>
        <v>-12745.271942733196</v>
      </c>
      <c r="K46" s="942"/>
      <c r="L46" s="942">
        <f t="shared" si="4"/>
        <v>50122.336165111032</v>
      </c>
    </row>
    <row r="47" spans="2:12" ht="15.75">
      <c r="B47" s="921" t="s">
        <v>582</v>
      </c>
      <c r="C47" s="921" t="str">
        <f t="shared" si="9"/>
        <v>Year 2026</v>
      </c>
      <c r="D47" s="921"/>
      <c r="E47" s="928">
        <f t="shared" si="5"/>
        <v>-50122.336165111032</v>
      </c>
      <c r="F47" s="928"/>
      <c r="G47" s="943">
        <f t="shared" si="6"/>
        <v>6.8300000000000001E-3</v>
      </c>
      <c r="H47" s="921"/>
      <c r="I47" s="942">
        <f t="shared" si="7"/>
        <v>342.33555600770836</v>
      </c>
      <c r="J47" s="942">
        <f>J46</f>
        <v>-12745.271942733196</v>
      </c>
      <c r="K47" s="942"/>
      <c r="L47" s="942">
        <f t="shared" si="4"/>
        <v>37719.399778385545</v>
      </c>
    </row>
    <row r="48" spans="2:12" ht="15.75">
      <c r="B48" s="921" t="s">
        <v>583</v>
      </c>
      <c r="C48" s="921" t="str">
        <f t="shared" si="9"/>
        <v>Year 2026</v>
      </c>
      <c r="D48" s="921"/>
      <c r="E48" s="928">
        <f t="shared" si="5"/>
        <v>-37719.399778385545</v>
      </c>
      <c r="F48" s="928"/>
      <c r="G48" s="943">
        <f t="shared" si="6"/>
        <v>6.8300000000000001E-3</v>
      </c>
      <c r="H48" s="921"/>
      <c r="I48" s="942">
        <f t="shared" si="7"/>
        <v>257.6235004863733</v>
      </c>
      <c r="J48" s="942">
        <f t="shared" si="8"/>
        <v>-12745.271942733196</v>
      </c>
      <c r="K48" s="942"/>
      <c r="L48" s="942">
        <f t="shared" si="4"/>
        <v>25231.751336138717</v>
      </c>
    </row>
    <row r="49" spans="2:12" ht="15.75">
      <c r="B49" s="921" t="s">
        <v>584</v>
      </c>
      <c r="C49" s="921" t="str">
        <f t="shared" si="9"/>
        <v>Year 2026</v>
      </c>
      <c r="D49" s="921"/>
      <c r="E49" s="928">
        <f t="shared" si="5"/>
        <v>-25231.751336138717</v>
      </c>
      <c r="F49" s="928"/>
      <c r="G49" s="943">
        <f t="shared" si="6"/>
        <v>6.8300000000000001E-3</v>
      </c>
      <c r="H49" s="921"/>
      <c r="I49" s="942">
        <f t="shared" si="7"/>
        <v>172.33286162582743</v>
      </c>
      <c r="J49" s="942">
        <f t="shared" si="8"/>
        <v>-12745.271942733196</v>
      </c>
      <c r="K49" s="942"/>
      <c r="L49" s="942">
        <f t="shared" si="4"/>
        <v>12658.812255031347</v>
      </c>
    </row>
    <row r="50" spans="2:12" ht="15.75">
      <c r="B50" s="921" t="s">
        <v>585</v>
      </c>
      <c r="C50" s="921" t="str">
        <f t="shared" si="9"/>
        <v>Year 2026</v>
      </c>
      <c r="D50" s="921"/>
      <c r="E50" s="928">
        <f t="shared" si="5"/>
        <v>-12658.812255031347</v>
      </c>
      <c r="F50" s="928"/>
      <c r="G50" s="943">
        <f t="shared" si="6"/>
        <v>6.8300000000000001E-3</v>
      </c>
      <c r="H50" s="921"/>
      <c r="I50" s="944">
        <f t="shared" si="7"/>
        <v>86.459687701864098</v>
      </c>
      <c r="J50" s="942">
        <f t="shared" si="8"/>
        <v>-12745.271942733196</v>
      </c>
      <c r="K50" s="942"/>
      <c r="L50" s="942">
        <f t="shared" si="4"/>
        <v>1.6370904631912708E-11</v>
      </c>
    </row>
    <row r="51" spans="2:12" ht="15.75">
      <c r="B51" s="921"/>
      <c r="C51" s="921"/>
      <c r="D51" s="921"/>
      <c r="E51" s="928"/>
      <c r="F51" s="928"/>
      <c r="G51" s="943"/>
      <c r="H51" s="921"/>
      <c r="I51" s="942">
        <f>SUM(I39:I50)</f>
        <v>6578.9230567027598</v>
      </c>
      <c r="J51" s="942"/>
      <c r="K51" s="942"/>
      <c r="L51" s="942"/>
    </row>
    <row r="52" spans="2:12" ht="15">
      <c r="B52" s="131"/>
      <c r="C52" s="131"/>
      <c r="D52" s="131"/>
      <c r="E52" s="131"/>
      <c r="F52" s="131"/>
      <c r="G52" s="131"/>
      <c r="H52" s="131"/>
      <c r="I52" s="131"/>
      <c r="J52" s="949"/>
      <c r="K52" s="131"/>
      <c r="L52" s="131"/>
    </row>
    <row r="53" spans="2:12" ht="15.75">
      <c r="B53" s="921" t="s">
        <v>589</v>
      </c>
      <c r="C53" s="131"/>
      <c r="D53" s="131"/>
      <c r="E53" s="131"/>
      <c r="F53" s="131"/>
      <c r="G53" s="131"/>
      <c r="H53" s="131"/>
      <c r="I53" s="131"/>
      <c r="J53" s="950">
        <f>(SUM(J39:J50)*-1)</f>
        <v>152943.26331279834</v>
      </c>
      <c r="K53" s="131"/>
      <c r="L53" s="131"/>
    </row>
    <row r="54" spans="2:12" ht="15.75">
      <c r="B54" s="921" t="s">
        <v>590</v>
      </c>
      <c r="C54" s="131"/>
      <c r="D54" s="131"/>
      <c r="E54" s="131"/>
      <c r="F54" s="131"/>
      <c r="G54" s="131"/>
      <c r="H54" s="131"/>
      <c r="I54" s="131"/>
      <c r="J54" s="951">
        <f>+I10</f>
        <v>-129526.69680325314</v>
      </c>
      <c r="K54" s="131"/>
      <c r="L54" s="131"/>
    </row>
    <row r="55" spans="2:12" ht="15.75">
      <c r="B55" s="921" t="s">
        <v>591</v>
      </c>
      <c r="C55" s="131"/>
      <c r="D55" s="131"/>
      <c r="E55" s="131"/>
      <c r="F55" s="131"/>
      <c r="G55" s="131"/>
      <c r="H55" s="131"/>
      <c r="I55" s="131"/>
      <c r="J55" s="950">
        <f>(J53+J54)</f>
        <v>23416.566509545199</v>
      </c>
      <c r="K55" s="131"/>
      <c r="L55" s="131"/>
    </row>
    <row r="57" spans="2:12" ht="63" customHeight="1">
      <c r="B57" s="1226" t="s">
        <v>592</v>
      </c>
      <c r="C57" s="1226"/>
      <c r="D57" s="1226"/>
      <c r="E57" s="1226"/>
      <c r="F57" s="1226"/>
      <c r="G57" s="1226"/>
      <c r="H57" s="1226"/>
      <c r="I57" s="1226"/>
      <c r="J57" s="1226"/>
      <c r="K57" s="1226"/>
      <c r="L57" s="1226"/>
    </row>
  </sheetData>
  <mergeCells count="5">
    <mergeCell ref="B1:L1"/>
    <mergeCell ref="B2:L2"/>
    <mergeCell ref="B3:L3"/>
    <mergeCell ref="E4:H4"/>
    <mergeCell ref="B57:L57"/>
  </mergeCells>
  <pageMargins left="0.7" right="0.7" top="0.75" bottom="0.75" header="0.3" footer="0.3"/>
  <pageSetup scale="46"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B1:L57"/>
  <sheetViews>
    <sheetView view="pageBreakPreview" zoomScale="60" zoomScaleNormal="100" workbookViewId="0">
      <selection activeCell="E10" sqref="E10"/>
    </sheetView>
  </sheetViews>
  <sheetFormatPr defaultRowHeight="12.75"/>
  <cols>
    <col min="2" max="2" width="28.140625" customWidth="1"/>
    <col min="5" max="5" width="26.7109375" customWidth="1"/>
    <col min="7" max="7" width="16.28515625" customWidth="1"/>
    <col min="9" max="9" width="27" customWidth="1"/>
    <col min="10" max="10" width="16.7109375" customWidth="1"/>
    <col min="12" max="12" width="19.7109375" customWidth="1"/>
  </cols>
  <sheetData>
    <row r="1" spans="2:12" ht="15.75">
      <c r="B1" s="1224" t="s">
        <v>810</v>
      </c>
      <c r="C1" s="1224"/>
      <c r="D1" s="1224"/>
      <c r="E1" s="1224"/>
      <c r="F1" s="1224"/>
      <c r="G1" s="1224"/>
      <c r="H1" s="1224"/>
      <c r="I1" s="1224"/>
      <c r="J1" s="1224"/>
      <c r="K1" s="1224"/>
      <c r="L1" s="1224"/>
    </row>
    <row r="2" spans="2:12" ht="15.75">
      <c r="B2" s="1225" t="s">
        <v>563</v>
      </c>
      <c r="C2" s="1225"/>
      <c r="D2" s="1225"/>
      <c r="E2" s="1225"/>
      <c r="F2" s="1225"/>
      <c r="G2" s="1225"/>
      <c r="H2" s="1225"/>
      <c r="I2" s="1225"/>
      <c r="J2" s="1225"/>
      <c r="K2" s="1225"/>
      <c r="L2" s="1225"/>
    </row>
    <row r="3" spans="2:12" ht="15.75">
      <c r="B3" s="1225" t="s">
        <v>593</v>
      </c>
      <c r="C3" s="1225"/>
      <c r="D3" s="1225"/>
      <c r="E3" s="1225"/>
      <c r="F3" s="1225"/>
      <c r="G3" s="1225"/>
      <c r="H3" s="1225"/>
      <c r="I3" s="1225"/>
      <c r="J3" s="1225"/>
      <c r="K3" s="1225"/>
      <c r="L3" s="1225"/>
    </row>
    <row r="4" spans="2:12" ht="15.75">
      <c r="B4" s="131"/>
      <c r="C4" s="131"/>
      <c r="D4" s="131"/>
      <c r="E4" s="1225"/>
      <c r="F4" s="1225"/>
      <c r="G4" s="1225"/>
      <c r="H4" s="1225"/>
      <c r="I4" s="131"/>
      <c r="J4" s="131"/>
      <c r="K4" s="131"/>
      <c r="L4" s="131"/>
    </row>
    <row r="7" spans="2:12" ht="16.5" thickBot="1">
      <c r="B7" s="920"/>
      <c r="C7" s="921"/>
      <c r="D7" s="921"/>
      <c r="E7" s="921"/>
      <c r="F7" s="921"/>
      <c r="G7" s="921"/>
      <c r="H7" s="921"/>
      <c r="I7" s="921"/>
      <c r="J7" s="921"/>
      <c r="K7" s="921"/>
      <c r="L7" s="921"/>
    </row>
    <row r="8" spans="2:12" ht="47.25">
      <c r="B8" s="922" t="str">
        <f>'WS R Interest'!B8</f>
        <v>Reconciliation Revenue Requirement For Year 2024 Available May 25, 2025</v>
      </c>
      <c r="C8" s="921"/>
      <c r="D8" s="921"/>
      <c r="E8" s="922" t="s">
        <v>968</v>
      </c>
      <c r="F8" s="921"/>
      <c r="G8" s="921"/>
      <c r="H8" s="131"/>
      <c r="I8" s="922" t="s">
        <v>565</v>
      </c>
      <c r="J8" s="131"/>
      <c r="K8" s="131"/>
      <c r="L8" s="131"/>
    </row>
    <row r="9" spans="2:12" ht="15.75">
      <c r="B9" s="1031" t="s">
        <v>414</v>
      </c>
      <c r="C9" s="921"/>
      <c r="D9" s="921"/>
      <c r="E9" s="1031"/>
      <c r="F9" s="921"/>
      <c r="G9" s="921"/>
      <c r="H9" s="131"/>
      <c r="I9" s="923"/>
      <c r="J9" s="131"/>
      <c r="K9" s="131"/>
      <c r="L9" s="131"/>
    </row>
    <row r="10" spans="2:12" ht="16.5" thickBot="1">
      <c r="B10" s="952">
        <v>100977.01000000001</v>
      </c>
      <c r="C10" s="1032" t="s">
        <v>811</v>
      </c>
      <c r="D10" s="1033"/>
      <c r="E10" s="952">
        <v>41336.585358961085</v>
      </c>
      <c r="F10" s="924"/>
      <c r="G10" s="925" t="s">
        <v>812</v>
      </c>
      <c r="H10" s="926"/>
      <c r="I10" s="927">
        <f>IF(B10=0,0,E10-B10)</f>
        <v>-59640.424641038924</v>
      </c>
      <c r="J10" s="131"/>
      <c r="K10" s="131"/>
      <c r="L10" s="131"/>
    </row>
    <row r="11" spans="2:12" ht="15.75">
      <c r="B11" s="928"/>
      <c r="C11" s="929"/>
      <c r="D11" s="929"/>
      <c r="E11" s="928"/>
      <c r="F11" s="928"/>
      <c r="G11" s="929"/>
      <c r="H11" s="928"/>
      <c r="I11" s="131"/>
      <c r="J11" s="131"/>
      <c r="K11" s="131"/>
      <c r="L11" s="131"/>
    </row>
    <row r="12" spans="2:12" ht="16.5" thickBot="1">
      <c r="B12" s="930"/>
      <c r="C12" s="931"/>
      <c r="D12" s="931"/>
      <c r="E12" s="930"/>
      <c r="F12" s="930"/>
      <c r="G12" s="931"/>
      <c r="H12" s="930"/>
      <c r="I12" s="932"/>
      <c r="J12" s="932"/>
      <c r="K12" s="932"/>
      <c r="L12" s="932"/>
    </row>
    <row r="13" spans="2:12" ht="15.75">
      <c r="B13" s="933"/>
      <c r="C13" s="929"/>
      <c r="D13" s="929"/>
      <c r="E13" s="928"/>
      <c r="F13" s="928"/>
      <c r="G13" s="929"/>
      <c r="H13" s="928"/>
      <c r="I13" s="131"/>
      <c r="J13" s="131"/>
      <c r="K13" s="131"/>
      <c r="L13" s="131"/>
    </row>
    <row r="14" spans="2:12" ht="31.5">
      <c r="B14" s="934" t="s">
        <v>623</v>
      </c>
      <c r="C14" s="929"/>
      <c r="D14" s="929"/>
      <c r="E14" s="935" t="s">
        <v>566</v>
      </c>
      <c r="F14" s="928"/>
      <c r="G14" s="935" t="s">
        <v>567</v>
      </c>
      <c r="H14" s="936" t="s">
        <v>568</v>
      </c>
      <c r="I14" s="937" t="s">
        <v>569</v>
      </c>
      <c r="J14" s="935" t="s">
        <v>570</v>
      </c>
      <c r="K14" s="938"/>
      <c r="L14" s="935" t="s">
        <v>571</v>
      </c>
    </row>
    <row r="15" spans="2:12" ht="15.75">
      <c r="B15" s="934" t="s">
        <v>624</v>
      </c>
      <c r="C15" s="929"/>
      <c r="D15" s="929"/>
      <c r="E15" s="131"/>
      <c r="F15" s="939"/>
      <c r="G15" s="953">
        <v>6.8300000000000001E-3</v>
      </c>
      <c r="I15" s="131"/>
      <c r="J15" s="131"/>
      <c r="K15" s="131"/>
      <c r="L15" s="131"/>
    </row>
    <row r="16" spans="2:12" ht="15.75">
      <c r="B16" s="934"/>
      <c r="C16" s="929"/>
      <c r="D16" s="929"/>
      <c r="E16" s="131"/>
      <c r="F16" s="939"/>
      <c r="G16" s="939"/>
      <c r="H16" s="928"/>
      <c r="I16" s="131"/>
      <c r="J16" s="131"/>
      <c r="K16" s="131"/>
      <c r="L16" s="131"/>
    </row>
    <row r="17" spans="2:12" ht="15.75">
      <c r="B17" s="934" t="s">
        <v>965</v>
      </c>
      <c r="C17" s="929"/>
      <c r="D17" s="929"/>
      <c r="E17" s="131"/>
      <c r="F17" s="939"/>
      <c r="G17" s="939"/>
      <c r="H17" s="928"/>
      <c r="I17" s="131"/>
      <c r="J17" s="131"/>
      <c r="K17" s="131"/>
      <c r="L17" s="131"/>
    </row>
    <row r="18" spans="2:12" ht="15.75">
      <c r="B18" s="940" t="s">
        <v>414</v>
      </c>
      <c r="C18" s="929"/>
      <c r="D18" s="929"/>
      <c r="E18" s="929"/>
      <c r="F18" s="929"/>
      <c r="G18" s="929" t="s">
        <v>414</v>
      </c>
      <c r="H18" s="131"/>
      <c r="I18" s="131"/>
      <c r="J18" s="131"/>
      <c r="K18" s="131"/>
      <c r="L18" s="131"/>
    </row>
    <row r="19" spans="2:12" ht="15.75">
      <c r="B19" s="941"/>
      <c r="C19" s="929"/>
      <c r="D19" s="929"/>
      <c r="E19" s="929"/>
      <c r="F19" s="929"/>
      <c r="G19" s="131"/>
      <c r="H19" s="131"/>
      <c r="I19" s="936"/>
      <c r="J19" s="929"/>
      <c r="K19" s="929"/>
      <c r="L19" s="929"/>
    </row>
    <row r="20" spans="2:12" ht="15.75">
      <c r="B20" s="941" t="s">
        <v>572</v>
      </c>
      <c r="C20" s="929"/>
      <c r="D20" s="929"/>
      <c r="E20" s="929"/>
      <c r="F20" s="929"/>
      <c r="G20" s="131"/>
      <c r="H20" s="131"/>
      <c r="I20" s="936" t="s">
        <v>573</v>
      </c>
      <c r="J20" s="929"/>
      <c r="K20" s="929"/>
      <c r="L20" s="929"/>
    </row>
    <row r="21" spans="2:12" ht="15.75">
      <c r="B21" s="921" t="s">
        <v>574</v>
      </c>
      <c r="C21" s="921" t="str">
        <f>"Year "&amp;TCOS!L4-2</f>
        <v>Year 2024</v>
      </c>
      <c r="D21" s="921"/>
      <c r="E21" s="942">
        <f>I10/12</f>
        <v>-4970.035386753244</v>
      </c>
      <c r="F21" s="942"/>
      <c r="G21" s="943">
        <f>G15</f>
        <v>6.8300000000000001E-3</v>
      </c>
      <c r="H21" s="929">
        <v>12</v>
      </c>
      <c r="I21" s="942">
        <f>G21*E21*H21*-1</f>
        <v>407.34410029829587</v>
      </c>
      <c r="J21" s="942"/>
      <c r="K21" s="942"/>
      <c r="L21" s="942">
        <f>(-I21+E21)*-1</f>
        <v>5377.3794870515394</v>
      </c>
    </row>
    <row r="22" spans="2:12" ht="15.75">
      <c r="B22" s="921" t="s">
        <v>575</v>
      </c>
      <c r="C22" s="921" t="str">
        <f>C21</f>
        <v>Year 2024</v>
      </c>
      <c r="D22" s="921"/>
      <c r="E22" s="942">
        <f>+E21</f>
        <v>-4970.035386753244</v>
      </c>
      <c r="F22" s="942"/>
      <c r="G22" s="943">
        <f>+G21</f>
        <v>6.8300000000000001E-3</v>
      </c>
      <c r="H22" s="929">
        <v>11</v>
      </c>
      <c r="I22" s="942">
        <f t="shared" ref="I22:I32" si="0">G22*E22*H22*-1</f>
        <v>373.3987586067712</v>
      </c>
      <c r="J22" s="942"/>
      <c r="K22" s="942"/>
      <c r="L22" s="942">
        <f t="shared" ref="L22:L32" si="1">(-I22+E22)*-1</f>
        <v>5343.4341453600155</v>
      </c>
    </row>
    <row r="23" spans="2:12" ht="15.75">
      <c r="B23" s="921" t="s">
        <v>576</v>
      </c>
      <c r="C23" s="921" t="str">
        <f>C21</f>
        <v>Year 2024</v>
      </c>
      <c r="D23" s="921"/>
      <c r="E23" s="942">
        <f t="shared" ref="E23:E32" si="2">+E22</f>
        <v>-4970.035386753244</v>
      </c>
      <c r="F23" s="942"/>
      <c r="G23" s="943">
        <f t="shared" ref="G23:G32" si="3">+G22</f>
        <v>6.8300000000000001E-3</v>
      </c>
      <c r="H23" s="929">
        <v>10</v>
      </c>
      <c r="I23" s="942">
        <f t="shared" si="0"/>
        <v>339.45341691524652</v>
      </c>
      <c r="J23" s="942"/>
      <c r="K23" s="942"/>
      <c r="L23" s="942">
        <f t="shared" si="1"/>
        <v>5309.4888036684906</v>
      </c>
    </row>
    <row r="24" spans="2:12" ht="15.75">
      <c r="B24" s="921" t="s">
        <v>577</v>
      </c>
      <c r="C24" s="921" t="str">
        <f>C21</f>
        <v>Year 2024</v>
      </c>
      <c r="D24" s="921"/>
      <c r="E24" s="942">
        <f t="shared" si="2"/>
        <v>-4970.035386753244</v>
      </c>
      <c r="F24" s="942"/>
      <c r="G24" s="943">
        <f t="shared" si="3"/>
        <v>6.8300000000000001E-3</v>
      </c>
      <c r="H24" s="929">
        <v>9</v>
      </c>
      <c r="I24" s="942">
        <f t="shared" si="0"/>
        <v>305.5080752237219</v>
      </c>
      <c r="J24" s="942"/>
      <c r="K24" s="942"/>
      <c r="L24" s="942">
        <f t="shared" si="1"/>
        <v>5275.5434619769658</v>
      </c>
    </row>
    <row r="25" spans="2:12" ht="15.75">
      <c r="B25" s="921" t="s">
        <v>578</v>
      </c>
      <c r="C25" s="921" t="str">
        <f>C21</f>
        <v>Year 2024</v>
      </c>
      <c r="D25" s="921"/>
      <c r="E25" s="942">
        <f t="shared" si="2"/>
        <v>-4970.035386753244</v>
      </c>
      <c r="F25" s="942"/>
      <c r="G25" s="943">
        <f t="shared" si="3"/>
        <v>6.8300000000000001E-3</v>
      </c>
      <c r="H25" s="929">
        <v>8</v>
      </c>
      <c r="I25" s="942">
        <f t="shared" si="0"/>
        <v>271.56273353219723</v>
      </c>
      <c r="J25" s="942"/>
      <c r="K25" s="942"/>
      <c r="L25" s="942">
        <f t="shared" si="1"/>
        <v>5241.5981202854409</v>
      </c>
    </row>
    <row r="26" spans="2:12" ht="15.75">
      <c r="B26" s="921" t="s">
        <v>579</v>
      </c>
      <c r="C26" s="921" t="str">
        <f>C21</f>
        <v>Year 2024</v>
      </c>
      <c r="D26" s="921"/>
      <c r="E26" s="942">
        <f t="shared" si="2"/>
        <v>-4970.035386753244</v>
      </c>
      <c r="F26" s="942"/>
      <c r="G26" s="943">
        <f t="shared" si="3"/>
        <v>6.8300000000000001E-3</v>
      </c>
      <c r="H26" s="929">
        <v>7</v>
      </c>
      <c r="I26" s="942">
        <f t="shared" si="0"/>
        <v>237.61739184067258</v>
      </c>
      <c r="J26" s="942"/>
      <c r="K26" s="942"/>
      <c r="L26" s="942">
        <f t="shared" si="1"/>
        <v>5207.652778593917</v>
      </c>
    </row>
    <row r="27" spans="2:12" ht="15.75">
      <c r="B27" s="921" t="s">
        <v>580</v>
      </c>
      <c r="C27" s="921" t="str">
        <f>C21</f>
        <v>Year 2024</v>
      </c>
      <c r="D27" s="921"/>
      <c r="E27" s="942">
        <f t="shared" si="2"/>
        <v>-4970.035386753244</v>
      </c>
      <c r="F27" s="942"/>
      <c r="G27" s="943">
        <f t="shared" si="3"/>
        <v>6.8300000000000001E-3</v>
      </c>
      <c r="H27" s="929">
        <v>6</v>
      </c>
      <c r="I27" s="942">
        <f t="shared" si="0"/>
        <v>203.67205014914794</v>
      </c>
      <c r="J27" s="942"/>
      <c r="K27" s="942"/>
      <c r="L27" s="942">
        <f t="shared" si="1"/>
        <v>5173.7074369023921</v>
      </c>
    </row>
    <row r="28" spans="2:12" ht="15.75">
      <c r="B28" s="921" t="s">
        <v>581</v>
      </c>
      <c r="C28" s="921" t="str">
        <f>C21</f>
        <v>Year 2024</v>
      </c>
      <c r="D28" s="921"/>
      <c r="E28" s="942">
        <f t="shared" si="2"/>
        <v>-4970.035386753244</v>
      </c>
      <c r="F28" s="942"/>
      <c r="G28" s="943">
        <f t="shared" si="3"/>
        <v>6.8300000000000001E-3</v>
      </c>
      <c r="H28" s="929">
        <v>5</v>
      </c>
      <c r="I28" s="942">
        <f t="shared" si="0"/>
        <v>169.72670845762326</v>
      </c>
      <c r="J28" s="942"/>
      <c r="K28" s="942"/>
      <c r="L28" s="942">
        <f t="shared" si="1"/>
        <v>5139.7620952108673</v>
      </c>
    </row>
    <row r="29" spans="2:12" ht="15.75">
      <c r="B29" s="921" t="s">
        <v>582</v>
      </c>
      <c r="C29" s="921" t="str">
        <f>C21</f>
        <v>Year 2024</v>
      </c>
      <c r="D29" s="921"/>
      <c r="E29" s="942">
        <f t="shared" si="2"/>
        <v>-4970.035386753244</v>
      </c>
      <c r="F29" s="942"/>
      <c r="G29" s="943">
        <f t="shared" si="3"/>
        <v>6.8300000000000001E-3</v>
      </c>
      <c r="H29" s="929">
        <v>4</v>
      </c>
      <c r="I29" s="942">
        <f t="shared" si="0"/>
        <v>135.78136676609861</v>
      </c>
      <c r="J29" s="942"/>
      <c r="K29" s="942"/>
      <c r="L29" s="942">
        <f t="shared" si="1"/>
        <v>5105.8167535193425</v>
      </c>
    </row>
    <row r="30" spans="2:12" ht="15.75">
      <c r="B30" s="921" t="s">
        <v>583</v>
      </c>
      <c r="C30" s="921" t="str">
        <f>C21</f>
        <v>Year 2024</v>
      </c>
      <c r="D30" s="921"/>
      <c r="E30" s="942">
        <f t="shared" si="2"/>
        <v>-4970.035386753244</v>
      </c>
      <c r="F30" s="942"/>
      <c r="G30" s="943">
        <f t="shared" si="3"/>
        <v>6.8300000000000001E-3</v>
      </c>
      <c r="H30" s="929">
        <v>3</v>
      </c>
      <c r="I30" s="942">
        <f t="shared" si="0"/>
        <v>101.83602507457397</v>
      </c>
      <c r="J30" s="942"/>
      <c r="K30" s="942"/>
      <c r="L30" s="942">
        <f t="shared" si="1"/>
        <v>5071.8714118278176</v>
      </c>
    </row>
    <row r="31" spans="2:12" ht="15.75">
      <c r="B31" s="921" t="s">
        <v>584</v>
      </c>
      <c r="C31" s="921" t="str">
        <f>C21</f>
        <v>Year 2024</v>
      </c>
      <c r="D31" s="921"/>
      <c r="E31" s="942">
        <f t="shared" si="2"/>
        <v>-4970.035386753244</v>
      </c>
      <c r="F31" s="942"/>
      <c r="G31" s="943">
        <f t="shared" si="3"/>
        <v>6.8300000000000001E-3</v>
      </c>
      <c r="H31" s="929">
        <v>2</v>
      </c>
      <c r="I31" s="942">
        <f t="shared" si="0"/>
        <v>67.890683383049307</v>
      </c>
      <c r="J31" s="942"/>
      <c r="K31" s="942"/>
      <c r="L31" s="942">
        <f t="shared" si="1"/>
        <v>5037.9260701362937</v>
      </c>
    </row>
    <row r="32" spans="2:12" ht="15.75">
      <c r="B32" s="921" t="s">
        <v>585</v>
      </c>
      <c r="C32" s="921" t="str">
        <f>C21</f>
        <v>Year 2024</v>
      </c>
      <c r="D32" s="921"/>
      <c r="E32" s="942">
        <f t="shared" si="2"/>
        <v>-4970.035386753244</v>
      </c>
      <c r="F32" s="942"/>
      <c r="G32" s="943">
        <f t="shared" si="3"/>
        <v>6.8300000000000001E-3</v>
      </c>
      <c r="H32" s="929">
        <v>1</v>
      </c>
      <c r="I32" s="944">
        <f t="shared" si="0"/>
        <v>33.945341691524654</v>
      </c>
      <c r="J32" s="942"/>
      <c r="K32" s="942"/>
      <c r="L32" s="942">
        <f t="shared" si="1"/>
        <v>5003.9807284447688</v>
      </c>
    </row>
    <row r="33" spans="2:12" ht="15.75">
      <c r="B33" s="921"/>
      <c r="C33" s="921"/>
      <c r="D33" s="921"/>
      <c r="E33" s="942"/>
      <c r="F33" s="942"/>
      <c r="G33" s="943"/>
      <c r="H33" s="921"/>
      <c r="I33" s="942">
        <f>SUM(I21:I32)</f>
        <v>2647.7366519389229</v>
      </c>
      <c r="J33" s="942"/>
      <c r="K33" s="942"/>
      <c r="L33" s="945">
        <f>SUM(L21:L32)</f>
        <v>62288.161292977849</v>
      </c>
    </row>
    <row r="34" spans="2:12" ht="15.75">
      <c r="B34" s="921"/>
      <c r="C34" s="921"/>
      <c r="D34" s="921"/>
      <c r="E34" s="942"/>
      <c r="F34" s="942"/>
      <c r="G34" s="943"/>
      <c r="H34" s="921"/>
      <c r="I34" s="942"/>
      <c r="J34" s="942" t="s">
        <v>414</v>
      </c>
      <c r="K34" s="942"/>
      <c r="L34" s="131"/>
    </row>
    <row r="35" spans="2:12" ht="15.75">
      <c r="B35" s="921"/>
      <c r="C35" s="921"/>
      <c r="D35" s="921"/>
      <c r="E35" s="928"/>
      <c r="F35" s="928"/>
      <c r="G35" s="943"/>
      <c r="H35" s="921"/>
      <c r="I35" s="946" t="s">
        <v>586</v>
      </c>
      <c r="J35" s="942"/>
      <c r="K35" s="942"/>
      <c r="L35" s="942"/>
    </row>
    <row r="36" spans="2:12" ht="15.75">
      <c r="B36" s="921" t="s">
        <v>587</v>
      </c>
      <c r="C36" s="921" t="str">
        <f>"Year "&amp;TCOS!L4-1</f>
        <v>Year 2025</v>
      </c>
      <c r="D36" s="921"/>
      <c r="E36" s="928">
        <f>L33</f>
        <v>62288.161292977849</v>
      </c>
      <c r="F36" s="928"/>
      <c r="G36" s="943">
        <f>G32</f>
        <v>6.8300000000000001E-3</v>
      </c>
      <c r="H36" s="929">
        <v>12</v>
      </c>
      <c r="I36" s="942">
        <f>+H36*G36*E36</f>
        <v>5105.137699572465</v>
      </c>
      <c r="J36" s="942"/>
      <c r="K36" s="942"/>
      <c r="L36" s="945">
        <f>+E36+I36</f>
        <v>67393.298992550321</v>
      </c>
    </row>
    <row r="37" spans="2:12" ht="15.75">
      <c r="B37" s="921"/>
      <c r="C37" s="921"/>
      <c r="D37" s="921"/>
      <c r="E37" s="928"/>
      <c r="F37" s="928"/>
      <c r="G37" s="943"/>
      <c r="H37" s="921"/>
      <c r="I37" s="942"/>
      <c r="J37" s="942"/>
      <c r="K37" s="942"/>
      <c r="L37" s="942"/>
    </row>
    <row r="38" spans="2:12" ht="15.75">
      <c r="B38" s="947" t="s">
        <v>588</v>
      </c>
      <c r="C38" s="921"/>
      <c r="D38" s="921"/>
      <c r="E38" s="942"/>
      <c r="F38" s="942"/>
      <c r="G38" s="943"/>
      <c r="H38" s="921"/>
      <c r="I38" s="946" t="s">
        <v>573</v>
      </c>
      <c r="J38" s="942"/>
      <c r="K38" s="942"/>
      <c r="L38" s="942"/>
    </row>
    <row r="39" spans="2:12" ht="15.75">
      <c r="B39" s="921" t="s">
        <v>574</v>
      </c>
      <c r="C39" s="921" t="str">
        <f>"Year "&amp;TCOS!L4</f>
        <v>Year 2026</v>
      </c>
      <c r="D39" s="921"/>
      <c r="E39" s="948">
        <f>-L36</f>
        <v>-67393.298992550321</v>
      </c>
      <c r="F39" s="928"/>
      <c r="G39" s="943">
        <f>G15</f>
        <v>6.8300000000000001E-3</v>
      </c>
      <c r="H39" s="921"/>
      <c r="I39" s="942">
        <f xml:space="preserve"> -G39*E39</f>
        <v>460.29623211911871</v>
      </c>
      <c r="J39" s="942">
        <f>PMT(G39,12,L$36)</f>
        <v>-5868.5464046438638</v>
      </c>
      <c r="K39" s="942"/>
      <c r="L39" s="942">
        <f>(+E39+E39*G39-J39)*-1</f>
        <v>61985.048820025571</v>
      </c>
    </row>
    <row r="40" spans="2:12" ht="15.75">
      <c r="B40" s="921" t="s">
        <v>575</v>
      </c>
      <c r="C40" s="921" t="str">
        <f>+C39</f>
        <v>Year 2026</v>
      </c>
      <c r="D40" s="921"/>
      <c r="E40" s="928">
        <f>-L39</f>
        <v>-61985.048820025571</v>
      </c>
      <c r="F40" s="928"/>
      <c r="G40" s="943">
        <f>+G39</f>
        <v>6.8300000000000001E-3</v>
      </c>
      <c r="H40" s="921"/>
      <c r="I40" s="942">
        <f xml:space="preserve"> -G40*E40</f>
        <v>423.35788344077469</v>
      </c>
      <c r="J40" s="942">
        <f>J39</f>
        <v>-5868.5464046438638</v>
      </c>
      <c r="K40" s="942"/>
      <c r="L40" s="942">
        <f t="shared" ref="L40:L50" si="4">(+E40+E40*G40-J40)*-1</f>
        <v>56539.860298822481</v>
      </c>
    </row>
    <row r="41" spans="2:12" ht="15.75">
      <c r="B41" s="921" t="s">
        <v>576</v>
      </c>
      <c r="C41" s="921" t="str">
        <f>+C40</f>
        <v>Year 2026</v>
      </c>
      <c r="D41" s="921"/>
      <c r="E41" s="928">
        <f t="shared" ref="E41:E50" si="5">-L40</f>
        <v>-56539.860298822481</v>
      </c>
      <c r="F41" s="928"/>
      <c r="G41" s="943">
        <f t="shared" ref="G41:G50" si="6">+G40</f>
        <v>6.8300000000000001E-3</v>
      </c>
      <c r="H41" s="921"/>
      <c r="I41" s="942">
        <f t="shared" ref="I41:I50" si="7" xml:space="preserve"> -G41*E41</f>
        <v>386.16724584095755</v>
      </c>
      <c r="J41" s="942">
        <f t="shared" ref="J41:J50" si="8">J40</f>
        <v>-5868.5464046438638</v>
      </c>
      <c r="K41" s="942"/>
      <c r="L41" s="942">
        <f t="shared" si="4"/>
        <v>51057.481140019576</v>
      </c>
    </row>
    <row r="42" spans="2:12" ht="15.75">
      <c r="B42" s="921" t="s">
        <v>577</v>
      </c>
      <c r="C42" s="921" t="str">
        <f>+C41</f>
        <v>Year 2026</v>
      </c>
      <c r="D42" s="921"/>
      <c r="E42" s="928">
        <f t="shared" si="5"/>
        <v>-51057.481140019576</v>
      </c>
      <c r="F42" s="928"/>
      <c r="G42" s="943">
        <f t="shared" si="6"/>
        <v>6.8300000000000001E-3</v>
      </c>
      <c r="H42" s="921"/>
      <c r="I42" s="942">
        <f t="shared" si="7"/>
        <v>348.7225961863337</v>
      </c>
      <c r="J42" s="942">
        <f t="shared" si="8"/>
        <v>-5868.5464046438638</v>
      </c>
      <c r="K42" s="942"/>
      <c r="L42" s="942">
        <f t="shared" si="4"/>
        <v>45537.657331562048</v>
      </c>
    </row>
    <row r="43" spans="2:12" ht="15.75">
      <c r="B43" s="921" t="s">
        <v>578</v>
      </c>
      <c r="C43" s="921" t="str">
        <f>+C42</f>
        <v>Year 2026</v>
      </c>
      <c r="D43" s="921"/>
      <c r="E43" s="928">
        <f t="shared" si="5"/>
        <v>-45537.657331562048</v>
      </c>
      <c r="F43" s="928"/>
      <c r="G43" s="943">
        <f t="shared" si="6"/>
        <v>6.8300000000000001E-3</v>
      </c>
      <c r="H43" s="921"/>
      <c r="I43" s="942">
        <f t="shared" si="7"/>
        <v>311.02219957456879</v>
      </c>
      <c r="J43" s="942">
        <f>J42</f>
        <v>-5868.5464046438638</v>
      </c>
      <c r="K43" s="942"/>
      <c r="L43" s="942">
        <f t="shared" si="4"/>
        <v>39980.13312649275</v>
      </c>
    </row>
    <row r="44" spans="2:12" ht="15.75">
      <c r="B44" s="921" t="s">
        <v>579</v>
      </c>
      <c r="C44" s="921" t="str">
        <f>C43</f>
        <v>Year 2026</v>
      </c>
      <c r="D44" s="131"/>
      <c r="E44" s="928">
        <f t="shared" si="5"/>
        <v>-39980.13312649275</v>
      </c>
      <c r="F44" s="928"/>
      <c r="G44" s="943">
        <f t="shared" si="6"/>
        <v>6.8300000000000001E-3</v>
      </c>
      <c r="H44" s="921"/>
      <c r="I44" s="942">
        <f t="shared" si="7"/>
        <v>273.06430925394551</v>
      </c>
      <c r="J44" s="942">
        <f t="shared" si="8"/>
        <v>-5868.5464046438638</v>
      </c>
      <c r="K44" s="942"/>
      <c r="L44" s="942">
        <f t="shared" si="4"/>
        <v>34384.651031102832</v>
      </c>
    </row>
    <row r="45" spans="2:12" ht="15.75">
      <c r="B45" s="921" t="s">
        <v>580</v>
      </c>
      <c r="C45" s="921" t="str">
        <f t="shared" ref="C45:C50" si="9">+C44</f>
        <v>Year 2026</v>
      </c>
      <c r="D45" s="921"/>
      <c r="E45" s="928">
        <f t="shared" si="5"/>
        <v>-34384.651031102832</v>
      </c>
      <c r="F45" s="928"/>
      <c r="G45" s="943">
        <f t="shared" si="6"/>
        <v>6.8300000000000001E-3</v>
      </c>
      <c r="H45" s="921"/>
      <c r="I45" s="942">
        <f t="shared" si="7"/>
        <v>234.84716654243235</v>
      </c>
      <c r="J45" s="942">
        <f t="shared" si="8"/>
        <v>-5868.5464046438638</v>
      </c>
      <c r="K45" s="942"/>
      <c r="L45" s="942">
        <f t="shared" si="4"/>
        <v>28750.951793001397</v>
      </c>
    </row>
    <row r="46" spans="2:12" ht="15.75">
      <c r="B46" s="921" t="s">
        <v>581</v>
      </c>
      <c r="C46" s="921" t="str">
        <f t="shared" si="9"/>
        <v>Year 2026</v>
      </c>
      <c r="D46" s="921"/>
      <c r="E46" s="928">
        <f t="shared" si="5"/>
        <v>-28750.951793001397</v>
      </c>
      <c r="F46" s="928"/>
      <c r="G46" s="943">
        <f t="shared" si="6"/>
        <v>6.8300000000000001E-3</v>
      </c>
      <c r="H46" s="921"/>
      <c r="I46" s="942">
        <f t="shared" si="7"/>
        <v>196.36900074619956</v>
      </c>
      <c r="J46" s="942">
        <f t="shared" si="8"/>
        <v>-5868.5464046438638</v>
      </c>
      <c r="K46" s="942"/>
      <c r="L46" s="942">
        <f t="shared" si="4"/>
        <v>23078.774389103732</v>
      </c>
    </row>
    <row r="47" spans="2:12" ht="15.75">
      <c r="B47" s="921" t="s">
        <v>582</v>
      </c>
      <c r="C47" s="921" t="str">
        <f t="shared" si="9"/>
        <v>Year 2026</v>
      </c>
      <c r="D47" s="921"/>
      <c r="E47" s="928">
        <f t="shared" si="5"/>
        <v>-23078.774389103732</v>
      </c>
      <c r="F47" s="928"/>
      <c r="G47" s="943">
        <f t="shared" si="6"/>
        <v>6.8300000000000001E-3</v>
      </c>
      <c r="H47" s="921"/>
      <c r="I47" s="942">
        <f t="shared" si="7"/>
        <v>157.6280290775785</v>
      </c>
      <c r="J47" s="942">
        <f>J46</f>
        <v>-5868.5464046438638</v>
      </c>
      <c r="K47" s="942"/>
      <c r="L47" s="942">
        <f t="shared" si="4"/>
        <v>17367.856013537446</v>
      </c>
    </row>
    <row r="48" spans="2:12" ht="15.75">
      <c r="B48" s="921" t="s">
        <v>583</v>
      </c>
      <c r="C48" s="921" t="str">
        <f t="shared" si="9"/>
        <v>Year 2026</v>
      </c>
      <c r="D48" s="921"/>
      <c r="E48" s="928">
        <f t="shared" si="5"/>
        <v>-17367.856013537446</v>
      </c>
      <c r="F48" s="928"/>
      <c r="G48" s="943">
        <f t="shared" si="6"/>
        <v>6.8300000000000001E-3</v>
      </c>
      <c r="H48" s="921"/>
      <c r="I48" s="942">
        <f t="shared" si="7"/>
        <v>118.62245657246076</v>
      </c>
      <c r="J48" s="942">
        <f t="shared" si="8"/>
        <v>-5868.5464046438638</v>
      </c>
      <c r="K48" s="942"/>
      <c r="L48" s="942">
        <f t="shared" si="4"/>
        <v>11617.932065466044</v>
      </c>
    </row>
    <row r="49" spans="2:12" ht="15.75">
      <c r="B49" s="921" t="s">
        <v>584</v>
      </c>
      <c r="C49" s="921" t="str">
        <f t="shared" si="9"/>
        <v>Year 2026</v>
      </c>
      <c r="D49" s="921"/>
      <c r="E49" s="928">
        <f t="shared" si="5"/>
        <v>-11617.932065466044</v>
      </c>
      <c r="F49" s="928"/>
      <c r="G49" s="943">
        <f t="shared" si="6"/>
        <v>6.8300000000000001E-3</v>
      </c>
      <c r="H49" s="921"/>
      <c r="I49" s="942">
        <f t="shared" si="7"/>
        <v>79.350476007133082</v>
      </c>
      <c r="J49" s="942">
        <f t="shared" si="8"/>
        <v>-5868.5464046438638</v>
      </c>
      <c r="K49" s="942"/>
      <c r="L49" s="942">
        <f t="shared" si="4"/>
        <v>5828.7361368293141</v>
      </c>
    </row>
    <row r="50" spans="2:12" ht="15.75">
      <c r="B50" s="921" t="s">
        <v>585</v>
      </c>
      <c r="C50" s="921" t="str">
        <f t="shared" si="9"/>
        <v>Year 2026</v>
      </c>
      <c r="D50" s="921"/>
      <c r="E50" s="928">
        <f t="shared" si="5"/>
        <v>-5828.7361368293141</v>
      </c>
      <c r="F50" s="928"/>
      <c r="G50" s="943">
        <f t="shared" si="6"/>
        <v>6.8300000000000001E-3</v>
      </c>
      <c r="H50" s="921"/>
      <c r="I50" s="944">
        <f t="shared" si="7"/>
        <v>39.810267814544218</v>
      </c>
      <c r="J50" s="942">
        <f t="shared" si="8"/>
        <v>-5868.5464046438638</v>
      </c>
      <c r="K50" s="942"/>
      <c r="L50" s="942">
        <f t="shared" si="4"/>
        <v>-5.4569682106375694E-12</v>
      </c>
    </row>
    <row r="51" spans="2:12" ht="15.75">
      <c r="B51" s="921"/>
      <c r="C51" s="921"/>
      <c r="D51" s="921"/>
      <c r="E51" s="928"/>
      <c r="F51" s="928"/>
      <c r="G51" s="943"/>
      <c r="H51" s="921"/>
      <c r="I51" s="942">
        <f>SUM(I39:I50)</f>
        <v>3029.2578631760471</v>
      </c>
      <c r="J51" s="942"/>
      <c r="K51" s="942"/>
      <c r="L51" s="942"/>
    </row>
    <row r="52" spans="2:12" ht="15">
      <c r="B52" s="131"/>
      <c r="C52" s="131"/>
      <c r="D52" s="131"/>
      <c r="E52" s="131"/>
      <c r="F52" s="131"/>
      <c r="G52" s="131"/>
      <c r="H52" s="131"/>
      <c r="I52" s="131"/>
      <c r="J52" s="949"/>
      <c r="K52" s="131"/>
      <c r="L52" s="131"/>
    </row>
    <row r="53" spans="2:12" ht="15.75">
      <c r="B53" s="921" t="s">
        <v>589</v>
      </c>
      <c r="C53" s="131"/>
      <c r="D53" s="131"/>
      <c r="E53" s="131"/>
      <c r="F53" s="131"/>
      <c r="G53" s="131"/>
      <c r="H53" s="131"/>
      <c r="I53" s="131"/>
      <c r="J53" s="950">
        <f>(SUM(J39:J50)*-1)</f>
        <v>70422.556855726361</v>
      </c>
      <c r="K53" s="131"/>
      <c r="L53" s="131"/>
    </row>
    <row r="54" spans="2:12" ht="15.75">
      <c r="B54" s="921" t="s">
        <v>590</v>
      </c>
      <c r="C54" s="131"/>
      <c r="D54" s="131"/>
      <c r="E54" s="131"/>
      <c r="F54" s="131"/>
      <c r="G54" s="131"/>
      <c r="H54" s="131"/>
      <c r="I54" s="131"/>
      <c r="J54" s="951">
        <f>+I10</f>
        <v>-59640.424641038924</v>
      </c>
      <c r="K54" s="131"/>
      <c r="L54" s="131"/>
    </row>
    <row r="55" spans="2:12" ht="15.75">
      <c r="B55" s="921" t="s">
        <v>591</v>
      </c>
      <c r="C55" s="131"/>
      <c r="D55" s="131"/>
      <c r="E55" s="131"/>
      <c r="F55" s="131"/>
      <c r="G55" s="131"/>
      <c r="H55" s="131"/>
      <c r="I55" s="131"/>
      <c r="J55" s="950">
        <f>(J53+J54)</f>
        <v>10782.132214687437</v>
      </c>
      <c r="K55" s="131"/>
      <c r="L55" s="131"/>
    </row>
    <row r="57" spans="2:12" ht="63" customHeight="1">
      <c r="B57" s="1226" t="s">
        <v>592</v>
      </c>
      <c r="C57" s="1226"/>
      <c r="D57" s="1226"/>
      <c r="E57" s="1226"/>
      <c r="F57" s="1226"/>
      <c r="G57" s="1226"/>
      <c r="H57" s="1226"/>
      <c r="I57" s="1226"/>
      <c r="J57" s="1226"/>
      <c r="K57" s="1226"/>
      <c r="L57" s="1226"/>
    </row>
  </sheetData>
  <mergeCells count="5">
    <mergeCell ref="B1:L1"/>
    <mergeCell ref="B2:L2"/>
    <mergeCell ref="B3:L3"/>
    <mergeCell ref="E4:H4"/>
    <mergeCell ref="B57:L57"/>
  </mergeCells>
  <pageMargins left="0.7" right="0.7" top="0.75" bottom="0.75" header="0.3" footer="0.3"/>
  <pageSetup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L222"/>
  <sheetViews>
    <sheetView view="pageBreakPreview" zoomScale="60" zoomScaleNormal="75" workbookViewId="0">
      <selection activeCell="E17" sqref="E17"/>
    </sheetView>
  </sheetViews>
  <sheetFormatPr defaultRowHeight="12.75"/>
  <cols>
    <col min="1" max="1" width="9.140625" style="7"/>
    <col min="2" max="2" width="0.85546875" style="14" customWidth="1"/>
    <col min="3" max="3" width="41.5703125" style="7" customWidth="1"/>
    <col min="4" max="4" width="38.85546875" style="7" bestFit="1" customWidth="1"/>
    <col min="5" max="5" width="23.28515625" style="7" customWidth="1"/>
    <col min="6" max="6" width="1.7109375" style="7" customWidth="1"/>
    <col min="7" max="7" width="23.5703125" style="7" customWidth="1"/>
    <col min="8" max="8" width="2.85546875" style="7" customWidth="1"/>
    <col min="9" max="9" width="20" style="7" customWidth="1"/>
    <col min="10" max="10" width="5.5703125" style="7" customWidth="1"/>
    <col min="11" max="12" width="9.140625" style="7"/>
    <col min="13" max="13" width="10" style="7" bestFit="1" customWidth="1"/>
    <col min="14" max="14" width="17.7109375" style="7" customWidth="1"/>
    <col min="15" max="15" width="15.5703125" style="7" bestFit="1" customWidth="1"/>
    <col min="16" max="16384" width="9.140625" style="7"/>
  </cols>
  <sheetData>
    <row r="1" spans="1:12" ht="15.75">
      <c r="A1" s="696" t="s">
        <v>414</v>
      </c>
    </row>
    <row r="2" spans="1:12" ht="15.75">
      <c r="A2" s="696" t="s">
        <v>414</v>
      </c>
    </row>
    <row r="3" spans="1:12" ht="15">
      <c r="A3" s="1141" t="str">
        <f>TCOS!$F$5</f>
        <v>AEPTCo subsidiaries in PJM</v>
      </c>
      <c r="B3" s="1141" t="str">
        <f>TCOS!$F$5</f>
        <v>AEPTCo subsidiaries in PJM</v>
      </c>
      <c r="C3" s="1141" t="str">
        <f>TCOS!$F$5</f>
        <v>AEPTCo subsidiaries in PJM</v>
      </c>
      <c r="D3" s="1141" t="str">
        <f>TCOS!$F$5</f>
        <v>AEPTCo subsidiaries in PJM</v>
      </c>
      <c r="E3" s="1141" t="str">
        <f>TCOS!$F$5</f>
        <v>AEPTCo subsidiaries in PJM</v>
      </c>
      <c r="F3" s="1141" t="str">
        <f>TCOS!$F$5</f>
        <v>AEPTCo subsidiaries in PJM</v>
      </c>
      <c r="G3" s="1141" t="str">
        <f>TCOS!$F$5</f>
        <v>AEPTCo subsidiaries in PJM</v>
      </c>
      <c r="H3" s="1141" t="str">
        <f>TCOS!$F$5</f>
        <v>AEPTCo subsidiaries in PJM</v>
      </c>
      <c r="I3" s="1141" t="str">
        <f>TCOS!$F$5</f>
        <v>AEPTCo subsidiaries in PJM</v>
      </c>
      <c r="J3" s="17"/>
    </row>
    <row r="4" spans="1:12" ht="15">
      <c r="A4" s="1142" t="str">
        <f>"Cost of Service Formula Rate Using Actual/Projected FF1 Balances"</f>
        <v>Cost of Service Formula Rate Using Actual/Projected FF1 Balances</v>
      </c>
      <c r="B4" s="1142"/>
      <c r="C4" s="1142"/>
      <c r="D4" s="1142"/>
      <c r="E4" s="1142"/>
      <c r="F4" s="1142"/>
      <c r="G4" s="1142"/>
      <c r="H4" s="1142"/>
      <c r="I4" s="1142"/>
      <c r="J4" s="45"/>
    </row>
    <row r="5" spans="1:12" ht="15">
      <c r="A5" s="1142" t="s">
        <v>270</v>
      </c>
      <c r="B5" s="1142"/>
      <c r="C5" s="1142"/>
      <c r="D5" s="1142"/>
      <c r="E5" s="1142"/>
      <c r="F5" s="1142"/>
      <c r="G5" s="1142"/>
      <c r="H5" s="1142"/>
      <c r="I5" s="1142"/>
      <c r="J5" s="44"/>
    </row>
    <row r="6" spans="1:12" ht="15">
      <c r="A6" s="1152" t="str">
        <f>TCOS!F9</f>
        <v>AEP Kentucky Transmission Company</v>
      </c>
      <c r="B6" s="1152"/>
      <c r="C6" s="1152"/>
      <c r="D6" s="1152"/>
      <c r="E6" s="1152"/>
      <c r="F6" s="1152"/>
      <c r="G6" s="1152"/>
      <c r="H6" s="1152"/>
      <c r="I6" s="1152"/>
      <c r="J6" s="2"/>
    </row>
    <row r="7" spans="1:12">
      <c r="C7" s="13"/>
      <c r="D7" s="13"/>
    </row>
    <row r="8" spans="1:12" ht="15">
      <c r="A8" s="668"/>
      <c r="B8" s="677"/>
      <c r="C8" s="681" t="s">
        <v>460</v>
      </c>
      <c r="D8" s="681" t="s">
        <v>461</v>
      </c>
      <c r="E8" s="681" t="s">
        <v>462</v>
      </c>
      <c r="F8" s="668"/>
      <c r="G8" s="681" t="s">
        <v>463</v>
      </c>
      <c r="H8" s="668"/>
      <c r="I8" s="681" t="s">
        <v>383</v>
      </c>
      <c r="J8" s="4"/>
      <c r="K8"/>
      <c r="L8"/>
    </row>
    <row r="9" spans="1:12" ht="15">
      <c r="A9" s="667"/>
      <c r="B9" s="677"/>
      <c r="C9" s="668"/>
      <c r="D9" s="668"/>
      <c r="E9" s="668"/>
      <c r="F9" s="668"/>
      <c r="G9" s="668"/>
      <c r="H9" s="668"/>
      <c r="I9" s="682"/>
      <c r="J9"/>
      <c r="K9"/>
      <c r="L9"/>
    </row>
    <row r="10" spans="1:12" ht="12.75" customHeight="1">
      <c r="A10" s="680" t="s">
        <v>467</v>
      </c>
      <c r="B10" s="677"/>
      <c r="C10" s="683"/>
      <c r="D10" s="683"/>
      <c r="E10" s="1150" t="str">
        <f>"Balance @    December 31, "&amp;TCOS!L4&amp;""</f>
        <v>Balance @    December 31, 2026</v>
      </c>
      <c r="F10" s="684"/>
      <c r="G10" s="1150" t="str">
        <f>"Balance @     December 31, "&amp;TCOS!L4-1&amp;""</f>
        <v>Balance @     December 31, 2025</v>
      </c>
      <c r="H10" s="684"/>
      <c r="I10" s="1153" t="str">
        <f>"Average Balance for "&amp;TCOS!L4&amp;""</f>
        <v>Average Balance for 2026</v>
      </c>
      <c r="J10"/>
      <c r="K10"/>
      <c r="L10"/>
    </row>
    <row r="11" spans="1:12" ht="15">
      <c r="A11" s="687" t="s">
        <v>405</v>
      </c>
      <c r="B11" s="685"/>
      <c r="C11" s="680" t="s">
        <v>465</v>
      </c>
      <c r="D11" s="680" t="s">
        <v>496</v>
      </c>
      <c r="E11" s="1151"/>
      <c r="F11" s="686"/>
      <c r="G11" s="1151"/>
      <c r="H11" s="686"/>
      <c r="I11" s="1151"/>
      <c r="J11"/>
      <c r="K11"/>
      <c r="L11"/>
    </row>
    <row r="12" spans="1:12">
      <c r="A12" s="43"/>
      <c r="C12" s="13"/>
      <c r="D12" s="13"/>
      <c r="G12" s="96"/>
    </row>
    <row r="13" spans="1:12">
      <c r="A13" s="43"/>
      <c r="C13" s="13"/>
      <c r="D13" s="13"/>
    </row>
    <row r="14" spans="1:12">
      <c r="A14" s="43"/>
      <c r="C14" s="13"/>
      <c r="D14" s="13"/>
    </row>
    <row r="15" spans="1:12" ht="15.75">
      <c r="A15" s="43">
        <v>1</v>
      </c>
      <c r="C15" s="28" t="s">
        <v>303</v>
      </c>
      <c r="D15" s="28"/>
    </row>
    <row r="16" spans="1:12" ht="15.75">
      <c r="A16" s="43"/>
      <c r="C16" s="28"/>
      <c r="D16" s="680"/>
      <c r="H16"/>
    </row>
    <row r="17" spans="1:9" ht="14.25">
      <c r="A17" s="43">
        <f>+A15+1</f>
        <v>2</v>
      </c>
      <c r="C17" s="674" t="s">
        <v>309</v>
      </c>
      <c r="D17" s="678" t="s">
        <v>311</v>
      </c>
      <c r="E17" s="666">
        <v>0</v>
      </c>
      <c r="F17" s="668"/>
      <c r="G17" s="666">
        <v>0</v>
      </c>
      <c r="H17" s="671"/>
      <c r="I17" s="672">
        <f>IF(G17="",0,(E17+G17)/2)</f>
        <v>0</v>
      </c>
    </row>
    <row r="18" spans="1:9" ht="14.25">
      <c r="A18" s="43">
        <f>+A17+1</f>
        <v>3</v>
      </c>
      <c r="C18" s="674" t="s">
        <v>313</v>
      </c>
      <c r="D18" s="667" t="str">
        <f>"WS B-1 - Actual Stmt. AF Ln. " &amp;'WS B-1 - Actual Stmt. AF'!A24&amp;" (Note 1)"</f>
        <v>WS B-1 - Actual Stmt. AF Ln. 4 (Note 1)</v>
      </c>
      <c r="E18" s="666">
        <v>0</v>
      </c>
      <c r="F18" s="668"/>
      <c r="G18" s="666">
        <v>0</v>
      </c>
      <c r="H18" s="671"/>
      <c r="I18" s="672">
        <f>IF(G18="",0,(E18+G18)/2)</f>
        <v>0</v>
      </c>
    </row>
    <row r="19" spans="1:9" ht="16.5">
      <c r="A19" s="43">
        <f>+A18+1</f>
        <v>4</v>
      </c>
      <c r="C19" s="674" t="s">
        <v>314</v>
      </c>
      <c r="D19" s="667" t="str">
        <f>"WS B-1 - Actual Stmt. AF Ln. " &amp;'WS B-1 - Actual Stmt. AF'!A23&amp;" (Note 1)"</f>
        <v>WS B-1 - Actual Stmt. AF Ln. 3 (Note 1)</v>
      </c>
      <c r="E19" s="670">
        <v>0</v>
      </c>
      <c r="F19" s="668"/>
      <c r="G19" s="670">
        <v>0</v>
      </c>
      <c r="H19" s="668"/>
      <c r="I19" s="673">
        <f>IF(G19="",0,(E19+G19)/2)</f>
        <v>0</v>
      </c>
    </row>
    <row r="20" spans="1:9" ht="14.25">
      <c r="A20" s="43">
        <f>+A19+1</f>
        <v>5</v>
      </c>
      <c r="C20" s="674" t="s">
        <v>310</v>
      </c>
      <c r="D20" s="679" t="str">
        <f>"Ln "&amp;A17&amp;" - ln "&amp;A18&amp;" - ln "&amp;A19&amp;""</f>
        <v>Ln 2 - ln 3 - ln 4</v>
      </c>
      <c r="E20" s="669">
        <f>+E17-E18-E19</f>
        <v>0</v>
      </c>
      <c r="F20" s="668"/>
      <c r="G20" s="669">
        <f>+G17-G18-G19</f>
        <v>0</v>
      </c>
      <c r="H20" s="668"/>
      <c r="I20" s="672">
        <f>+I17-I18-I19</f>
        <v>0</v>
      </c>
    </row>
    <row r="21" spans="1:9" ht="14.25">
      <c r="A21" s="43"/>
      <c r="C21" s="36"/>
      <c r="D21" s="674"/>
      <c r="E21" s="668"/>
      <c r="F21" s="668"/>
      <c r="G21" s="668"/>
      <c r="H21" s="668"/>
      <c r="I21" s="668"/>
    </row>
    <row r="22" spans="1:9" ht="14.25">
      <c r="A22" s="43"/>
      <c r="C22" s="36"/>
      <c r="D22" s="674"/>
      <c r="E22" s="668"/>
      <c r="F22" s="668"/>
      <c r="G22" s="668"/>
      <c r="H22" s="668"/>
      <c r="I22" s="668"/>
    </row>
    <row r="23" spans="1:9" ht="15.75">
      <c r="A23" s="43">
        <f>+A20+1</f>
        <v>6</v>
      </c>
      <c r="C23" s="28" t="s">
        <v>304</v>
      </c>
      <c r="D23" s="674"/>
      <c r="E23" s="668"/>
      <c r="F23" s="668"/>
      <c r="G23" s="668"/>
      <c r="H23" s="668"/>
      <c r="I23" s="668"/>
    </row>
    <row r="24" spans="1:9" ht="14.25">
      <c r="A24" s="43"/>
      <c r="C24" s="36"/>
      <c r="D24" s="674"/>
      <c r="E24" s="668"/>
      <c r="F24" s="668"/>
      <c r="G24" s="668"/>
      <c r="H24" s="668"/>
      <c r="I24" s="668"/>
    </row>
    <row r="25" spans="1:9" ht="14.25">
      <c r="A25" s="43">
        <f>+A23+1</f>
        <v>7</v>
      </c>
      <c r="C25" s="674" t="s">
        <v>309</v>
      </c>
      <c r="D25" s="678" t="s">
        <v>237</v>
      </c>
      <c r="E25" s="666">
        <v>20043828.513348073</v>
      </c>
      <c r="F25" s="668"/>
      <c r="G25" s="666">
        <v>18993294.638846684</v>
      </c>
      <c r="H25" s="671"/>
      <c r="I25" s="672">
        <f>IF(G25="",0,(E25+G25)/2)</f>
        <v>19518561.576097377</v>
      </c>
    </row>
    <row r="26" spans="1:9" ht="14.25">
      <c r="A26" s="43">
        <f>+A25+1</f>
        <v>8</v>
      </c>
      <c r="C26" s="674" t="s">
        <v>313</v>
      </c>
      <c r="D26" s="667" t="str">
        <f>"WS B-1 - Actual Stmt. AF Ln. " &amp;'WS B-1 - Actual Stmt. AF'!A72&amp;" (Note 1)"</f>
        <v>WS B-1 - Actual Stmt. AF Ln. 7 (Note 1)</v>
      </c>
      <c r="E26" s="666">
        <v>0</v>
      </c>
      <c r="F26" s="668"/>
      <c r="G26" s="666">
        <v>0</v>
      </c>
      <c r="H26" s="671"/>
      <c r="I26" s="672">
        <f>IF(G26="",0,(E26+G26)/2)</f>
        <v>0</v>
      </c>
    </row>
    <row r="27" spans="1:9" ht="16.5">
      <c r="A27" s="43">
        <f>+A26+1</f>
        <v>9</v>
      </c>
      <c r="C27" s="674" t="s">
        <v>314</v>
      </c>
      <c r="D27" s="667" t="str">
        <f>"WS B-1 - Actual Stmt. AF Ln. " &amp;'WS B-1 - Actual Stmt. AF'!A71&amp;" (Note 1)"</f>
        <v>WS B-1 - Actual Stmt. AF Ln. 6 (Note 1)</v>
      </c>
      <c r="E27" s="670">
        <v>616268.28681432456</v>
      </c>
      <c r="F27" s="668"/>
      <c r="G27" s="670">
        <v>49507.660000000149</v>
      </c>
      <c r="H27" s="668"/>
      <c r="I27" s="673">
        <f>IF(G27="",0,(E27+G27)/2)</f>
        <v>332887.97340716235</v>
      </c>
    </row>
    <row r="28" spans="1:9" ht="14.25">
      <c r="A28" s="43">
        <f>+A27+1</f>
        <v>10</v>
      </c>
      <c r="C28" s="674" t="s">
        <v>310</v>
      </c>
      <c r="D28" s="679" t="str">
        <f>"Ln "&amp;A25&amp;" - ln "&amp;A26&amp;" - ln "&amp;A27&amp;""</f>
        <v>Ln 7 - ln 8 - ln 9</v>
      </c>
      <c r="E28" s="669">
        <f>+E25-E26-E27</f>
        <v>19427560.226533748</v>
      </c>
      <c r="F28" s="668"/>
      <c r="G28" s="669">
        <f>+G25-G26-G27</f>
        <v>18943786.978846684</v>
      </c>
      <c r="H28" s="668"/>
      <c r="I28" s="672">
        <f>+I25-I26-I27</f>
        <v>19185673.602690212</v>
      </c>
    </row>
    <row r="29" spans="1:9" ht="14.25">
      <c r="A29" s="43"/>
      <c r="C29" s="36"/>
      <c r="D29" s="674"/>
      <c r="E29" s="668"/>
      <c r="F29" s="668"/>
      <c r="G29" s="668"/>
      <c r="H29" s="668"/>
      <c r="I29" s="668"/>
    </row>
    <row r="30" spans="1:9" ht="14.25">
      <c r="A30" s="43"/>
      <c r="C30" s="36"/>
      <c r="D30" s="674"/>
      <c r="E30" s="669"/>
      <c r="F30" s="668"/>
      <c r="G30" s="669"/>
      <c r="H30" s="668"/>
      <c r="I30" s="668"/>
    </row>
    <row r="31" spans="1:9" ht="15.75">
      <c r="A31" s="43">
        <f>+A28+1</f>
        <v>11</v>
      </c>
      <c r="C31" s="28" t="s">
        <v>305</v>
      </c>
      <c r="D31" s="674"/>
      <c r="E31" s="668"/>
      <c r="F31" s="668"/>
      <c r="G31" s="668"/>
      <c r="H31" s="668"/>
      <c r="I31" s="668"/>
    </row>
    <row r="32" spans="1:9" ht="15.75">
      <c r="A32" s="43"/>
      <c r="C32" s="28"/>
      <c r="D32" s="674"/>
      <c r="E32" s="668"/>
      <c r="F32" s="668"/>
      <c r="G32" s="668"/>
      <c r="H32" s="668"/>
      <c r="I32" s="668"/>
    </row>
    <row r="33" spans="1:9" ht="14.25">
      <c r="A33" s="43">
        <f>+A31+1</f>
        <v>12</v>
      </c>
      <c r="C33" s="674" t="s">
        <v>309</v>
      </c>
      <c r="D33" s="678" t="s">
        <v>312</v>
      </c>
      <c r="E33" s="666">
        <v>3847158.7307231901</v>
      </c>
      <c r="F33" s="668"/>
      <c r="G33" s="666">
        <v>3858803.7399999993</v>
      </c>
      <c r="H33" s="671"/>
      <c r="I33" s="672">
        <f>IF(G33="",0,(E33+G33)/2)</f>
        <v>3852981.2353615947</v>
      </c>
    </row>
    <row r="34" spans="1:9" ht="14.25">
      <c r="A34" s="43">
        <f>+A33+1</f>
        <v>13</v>
      </c>
      <c r="C34" s="674" t="s">
        <v>313</v>
      </c>
      <c r="D34" s="667" t="str">
        <f>"WS B-1 - Actual Stmt. AF Ln. " &amp;'WS B-1 - Actual Stmt. AF'!A184&amp;" (Note 1)"</f>
        <v>WS B-1 - Actual Stmt. AF Ln. 13 (Note 1)</v>
      </c>
      <c r="E34" s="666">
        <v>0</v>
      </c>
      <c r="F34" s="668"/>
      <c r="G34" s="666">
        <v>0</v>
      </c>
      <c r="H34" s="671"/>
      <c r="I34" s="672">
        <f>IF(G34="",0,(E34+G34)/2)</f>
        <v>0</v>
      </c>
    </row>
    <row r="35" spans="1:9" ht="16.5">
      <c r="A35" s="43">
        <f>+A34+1</f>
        <v>14</v>
      </c>
      <c r="C35" s="674" t="s">
        <v>314</v>
      </c>
      <c r="D35" s="667" t="str">
        <f>"WS B-1 - Actual Stmt. AF Ln. " &amp;'WS B-1 - Actual Stmt. AF'!A183&amp;" (Note 1)"</f>
        <v>WS B-1 - Actual Stmt. AF Ln. 12 (Note 1)</v>
      </c>
      <c r="E35" s="670">
        <v>1106875.1599999997</v>
      </c>
      <c r="F35" s="668"/>
      <c r="G35" s="670">
        <v>1111394.8860688661</v>
      </c>
      <c r="H35" s="668"/>
      <c r="I35" s="673">
        <f>IF(G35="",0,(E35+G35)/2)</f>
        <v>1109135.0230344329</v>
      </c>
    </row>
    <row r="36" spans="1:9" ht="14.25">
      <c r="A36" s="43">
        <f>+A35+1</f>
        <v>15</v>
      </c>
      <c r="C36" s="674" t="s">
        <v>310</v>
      </c>
      <c r="D36" s="679" t="str">
        <f>"Ln "&amp;A33&amp;" - ln "&amp;A34&amp;" - ln "&amp;A35&amp;""</f>
        <v>Ln 12 - ln 13 - ln 14</v>
      </c>
      <c r="E36" s="669">
        <f>+E33-E34-E35</f>
        <v>2740283.5707231904</v>
      </c>
      <c r="F36" s="668"/>
      <c r="G36" s="669">
        <f>+G33-G34-G35</f>
        <v>2747408.8539311332</v>
      </c>
      <c r="H36" s="668"/>
      <c r="I36" s="672">
        <f>+I33-I34-I35</f>
        <v>2743846.2123271618</v>
      </c>
    </row>
    <row r="37" spans="1:9" ht="15.75">
      <c r="A37" s="43"/>
      <c r="C37" s="28"/>
      <c r="D37" s="674"/>
      <c r="E37" s="668"/>
      <c r="F37" s="668"/>
      <c r="G37" s="668"/>
      <c r="H37" s="668"/>
      <c r="I37" s="668"/>
    </row>
    <row r="38" spans="1:9" ht="14.25">
      <c r="A38" s="43"/>
      <c r="C38" s="36"/>
      <c r="D38" s="674"/>
      <c r="E38" s="668"/>
      <c r="F38" s="668"/>
      <c r="G38" s="668"/>
      <c r="H38" s="668"/>
      <c r="I38" s="668"/>
    </row>
    <row r="39" spans="1:9" ht="15.75">
      <c r="A39" s="43">
        <f>+A36+1</f>
        <v>16</v>
      </c>
      <c r="C39" s="28" t="s">
        <v>306</v>
      </c>
      <c r="D39" s="674"/>
      <c r="E39" s="668"/>
      <c r="F39" s="668"/>
      <c r="G39" s="668"/>
      <c r="H39" s="668"/>
      <c r="I39" s="668"/>
    </row>
    <row r="40" spans="1:9" ht="14.25">
      <c r="A40" s="43"/>
      <c r="C40" s="36"/>
      <c r="D40" s="674"/>
      <c r="E40" s="668"/>
      <c r="F40" s="668"/>
      <c r="G40" s="668"/>
      <c r="H40" s="668"/>
      <c r="I40" s="668"/>
    </row>
    <row r="41" spans="1:9" ht="14.25">
      <c r="A41" s="43">
        <f>+A39+1</f>
        <v>17</v>
      </c>
      <c r="C41" s="674" t="s">
        <v>309</v>
      </c>
      <c r="D41" s="678" t="s">
        <v>308</v>
      </c>
      <c r="E41" s="666">
        <v>1465516.8902449461</v>
      </c>
      <c r="F41" s="668"/>
      <c r="G41" s="666">
        <v>2197472.1674061827</v>
      </c>
      <c r="H41" s="671"/>
      <c r="I41" s="672">
        <f>IF(G41="",0,(E41+G41)/2)</f>
        <v>1831494.5288255643</v>
      </c>
    </row>
    <row r="42" spans="1:9" ht="14.25">
      <c r="A42" s="43">
        <f>+A41+1</f>
        <v>18</v>
      </c>
      <c r="C42" s="674" t="s">
        <v>313</v>
      </c>
      <c r="D42" s="667" t="str">
        <f>"WS B-2 - Actual Stmt. AG Ln. " &amp;'WS B-2 - Actual Stmt. AG'!A110&amp;" (Note 1)"</f>
        <v>WS B-2 - Actual Stmt. AG Ln. 4 (Note 1)</v>
      </c>
      <c r="E42" s="666">
        <v>0</v>
      </c>
      <c r="F42" s="668"/>
      <c r="G42" s="666">
        <v>0</v>
      </c>
      <c r="H42" s="671"/>
      <c r="I42" s="672">
        <f>IF(G42="",0,(E42+G42)/2)</f>
        <v>0</v>
      </c>
    </row>
    <row r="43" spans="1:9" ht="16.5">
      <c r="A43" s="43">
        <f>+A42+1</f>
        <v>19</v>
      </c>
      <c r="C43" s="674" t="s">
        <v>314</v>
      </c>
      <c r="D43" s="667" t="str">
        <f>"WS B-2 - Actual Stmt. AG Ln. " &amp;'WS B-2 - Actual Stmt. AG'!A109&amp;" (Note 1)"</f>
        <v>WS B-2 - Actual Stmt. AG Ln. 3 (Note 1)</v>
      </c>
      <c r="E43" s="670">
        <v>505853.52999999991</v>
      </c>
      <c r="F43" s="668"/>
      <c r="G43" s="670">
        <v>505853.53000000026</v>
      </c>
      <c r="H43" s="668"/>
      <c r="I43" s="673">
        <f>IF(G43="",0,(E43+G43)/2)</f>
        <v>505853.53000000009</v>
      </c>
    </row>
    <row r="44" spans="1:9" ht="14.25">
      <c r="A44" s="43">
        <f>+A43+1</f>
        <v>20</v>
      </c>
      <c r="C44" s="674" t="s">
        <v>310</v>
      </c>
      <c r="D44" s="679" t="str">
        <f>"Ln "&amp;A41&amp;" - ln "&amp;A42&amp;" - ln "&amp;A43&amp;""</f>
        <v>Ln 17 - ln 18 - ln 19</v>
      </c>
      <c r="E44" s="669">
        <f>+E41-E42-E43</f>
        <v>959663.36024494621</v>
      </c>
      <c r="F44" s="668"/>
      <c r="G44" s="669">
        <f>+G41-G42-G43</f>
        <v>1691618.6374061825</v>
      </c>
      <c r="H44" s="668"/>
      <c r="I44" s="672">
        <f>+I41-I42-I43</f>
        <v>1325640.9988255643</v>
      </c>
    </row>
    <row r="45" spans="1:9" ht="14.25">
      <c r="A45" s="43"/>
      <c r="C45" s="36"/>
      <c r="D45" s="36"/>
      <c r="E45" s="668"/>
      <c r="F45" s="668"/>
      <c r="G45" s="668"/>
      <c r="H45" s="668"/>
      <c r="I45" s="668"/>
    </row>
    <row r="46" spans="1:9" ht="14.25">
      <c r="A46" s="43"/>
      <c r="C46" s="36"/>
      <c r="D46" s="36"/>
      <c r="E46" s="668"/>
      <c r="F46" s="668"/>
      <c r="G46" s="668"/>
      <c r="H46" s="668"/>
      <c r="I46" s="668"/>
    </row>
    <row r="47" spans="1:9" ht="15.75">
      <c r="A47" s="43">
        <f>+A44+1</f>
        <v>21</v>
      </c>
      <c r="C47" s="28" t="s">
        <v>307</v>
      </c>
      <c r="D47" s="36"/>
      <c r="E47" s="668"/>
      <c r="F47" s="668"/>
      <c r="G47" s="668"/>
      <c r="H47" s="668"/>
      <c r="I47" s="668"/>
    </row>
    <row r="48" spans="1:9" ht="14.25">
      <c r="A48" s="43"/>
      <c r="C48" s="36"/>
      <c r="D48" s="36"/>
      <c r="E48" s="668"/>
      <c r="F48" s="668"/>
      <c r="G48" s="668"/>
      <c r="H48" s="668"/>
      <c r="I48" s="668"/>
    </row>
    <row r="49" spans="1:10" ht="14.25">
      <c r="A49" s="43">
        <f>+A47+1</f>
        <v>22</v>
      </c>
      <c r="C49" s="674" t="s">
        <v>315</v>
      </c>
      <c r="D49" s="678" t="s">
        <v>269</v>
      </c>
      <c r="E49" s="666">
        <v>0</v>
      </c>
      <c r="F49" s="668"/>
      <c r="G49" s="666">
        <v>0</v>
      </c>
      <c r="H49" s="671"/>
      <c r="I49" s="672">
        <f>IF(G49="",0,(E49+G49)/2)</f>
        <v>0</v>
      </c>
    </row>
    <row r="50" spans="1:10" ht="16.5">
      <c r="A50" s="43">
        <f>+A49+1</f>
        <v>23</v>
      </c>
      <c r="C50" s="674" t="s">
        <v>316</v>
      </c>
      <c r="D50" s="667" t="s">
        <v>334</v>
      </c>
      <c r="E50" s="670">
        <v>0</v>
      </c>
      <c r="F50" s="668"/>
      <c r="G50" s="670">
        <v>0</v>
      </c>
      <c r="H50" s="671"/>
      <c r="I50" s="673">
        <f>IF(G50="",0,(E50+G50)/2)</f>
        <v>0</v>
      </c>
    </row>
    <row r="51" spans="1:10" ht="14.25">
      <c r="A51" s="43">
        <f>+A50+1</f>
        <v>24</v>
      </c>
      <c r="C51" s="674" t="s">
        <v>260</v>
      </c>
      <c r="D51" s="679" t="str">
        <f>"Ln "&amp;A49&amp;" - ln "&amp;A50&amp;""</f>
        <v>Ln 22 - ln 23</v>
      </c>
      <c r="E51" s="669">
        <f>+E49-E50</f>
        <v>0</v>
      </c>
      <c r="F51" s="668"/>
      <c r="G51" s="669">
        <f>+G49-G50</f>
        <v>0</v>
      </c>
      <c r="H51" s="671"/>
      <c r="I51" s="672">
        <f>+I49-I50</f>
        <v>0</v>
      </c>
    </row>
    <row r="52" spans="1:10" ht="14.25">
      <c r="A52" s="43">
        <f>+A51+1</f>
        <v>25</v>
      </c>
      <c r="C52" s="674" t="s">
        <v>310</v>
      </c>
      <c r="D52" s="679" t="str">
        <f>"WS B-1 - Actual Stmt. AF Ln. " &amp;'WS B-1 - Actual Stmt. AF'!A197&amp;" (Note 1)"</f>
        <v>WS B-1 - Actual Stmt. AF Ln. 20 (Note 1)</v>
      </c>
      <c r="E52" s="666">
        <v>0</v>
      </c>
      <c r="F52" s="668"/>
      <c r="G52" s="666">
        <v>0</v>
      </c>
      <c r="H52" s="671"/>
      <c r="I52" s="672">
        <f>IF(G52="",0,(E52+G52)/2)</f>
        <v>0</v>
      </c>
    </row>
    <row r="53" spans="1:10">
      <c r="A53" s="43"/>
      <c r="C53" s="36"/>
      <c r="D53" s="36"/>
    </row>
    <row r="54" spans="1:10" ht="14.25">
      <c r="A54" s="675" t="s">
        <v>333</v>
      </c>
      <c r="B54" s="676" t="s">
        <v>414</v>
      </c>
      <c r="C54" s="676" t="s">
        <v>763</v>
      </c>
      <c r="D54" s="36"/>
    </row>
    <row r="55" spans="1:10" ht="14.25">
      <c r="A55" s="667"/>
      <c r="B55" s="677"/>
      <c r="C55" s="674" t="s">
        <v>764</v>
      </c>
      <c r="D55" s="36"/>
    </row>
    <row r="56" spans="1:10" ht="14.25">
      <c r="A56" s="667" t="s">
        <v>266</v>
      </c>
      <c r="B56" s="677" t="s">
        <v>267</v>
      </c>
      <c r="C56" s="674"/>
      <c r="D56" s="36"/>
    </row>
    <row r="57" spans="1:10">
      <c r="B57" s="3"/>
      <c r="C57" s="3"/>
      <c r="D57" s="3"/>
      <c r="E57" s="3"/>
      <c r="F57" s="3"/>
      <c r="G57" s="3"/>
      <c r="H57" s="3"/>
      <c r="I57" s="3"/>
      <c r="J57" s="3"/>
    </row>
    <row r="58" spans="1:10">
      <c r="B58" s="3"/>
      <c r="C58" s="3"/>
      <c r="D58" s="3"/>
      <c r="E58" s="3"/>
      <c r="F58" s="3"/>
      <c r="G58" s="3"/>
      <c r="H58" s="3"/>
      <c r="I58" s="3"/>
      <c r="J58" s="3"/>
    </row>
    <row r="59" spans="1:10">
      <c r="B59" s="3"/>
      <c r="C59" s="3"/>
      <c r="D59" s="3"/>
      <c r="E59" s="3"/>
      <c r="F59" s="3"/>
      <c r="G59" s="3"/>
      <c r="H59" s="3"/>
      <c r="I59" s="3"/>
      <c r="J59" s="3"/>
    </row>
    <row r="60" spans="1:10">
      <c r="B60" s="3"/>
      <c r="C60" s="3"/>
      <c r="D60" s="3"/>
      <c r="E60" s="3"/>
      <c r="F60" s="3"/>
      <c r="G60" s="3"/>
      <c r="H60" s="3"/>
      <c r="I60" s="3"/>
      <c r="J60" s="3"/>
    </row>
    <row r="61" spans="1:10">
      <c r="B61" s="3"/>
      <c r="C61" s="3"/>
      <c r="D61" s="3"/>
      <c r="E61" s="3"/>
      <c r="F61" s="3"/>
      <c r="G61" s="3"/>
      <c r="H61" s="3"/>
      <c r="I61" s="3"/>
      <c r="J61" s="3"/>
    </row>
    <row r="62" spans="1:10">
      <c r="B62" s="3"/>
      <c r="C62" s="3"/>
      <c r="D62" s="3"/>
      <c r="E62" s="3"/>
      <c r="F62" s="3"/>
      <c r="G62" s="3"/>
      <c r="H62" s="3"/>
      <c r="I62" s="3"/>
      <c r="J62" s="3"/>
    </row>
    <row r="63" spans="1:10">
      <c r="B63" s="3"/>
      <c r="C63" s="3"/>
      <c r="D63" s="3"/>
      <c r="E63" s="3"/>
      <c r="F63" s="3"/>
      <c r="G63" s="3"/>
      <c r="H63" s="3"/>
      <c r="I63" s="3"/>
      <c r="J63" s="3"/>
    </row>
    <row r="64" spans="1:10">
      <c r="B64" s="3"/>
      <c r="C64" s="3"/>
      <c r="D64" s="3"/>
      <c r="E64" s="3"/>
      <c r="F64" s="3"/>
      <c r="G64" s="3"/>
      <c r="H64" s="3"/>
      <c r="I64" s="3"/>
      <c r="J64" s="3"/>
    </row>
    <row r="65" spans="2:10">
      <c r="B65" s="3"/>
      <c r="C65" s="3"/>
      <c r="D65" s="3"/>
      <c r="E65" s="3"/>
      <c r="F65" s="3"/>
      <c r="G65" s="3"/>
      <c r="H65" s="3"/>
      <c r="I65" s="3"/>
      <c r="J65" s="3"/>
    </row>
    <row r="66" spans="2:10">
      <c r="B66" s="3"/>
      <c r="C66" s="3"/>
      <c r="D66" s="3"/>
      <c r="E66" s="3"/>
      <c r="F66" s="3"/>
      <c r="G66" s="3"/>
      <c r="H66" s="3"/>
      <c r="I66" s="3"/>
      <c r="J66" s="3"/>
    </row>
    <row r="67" spans="2:10">
      <c r="B67" s="3"/>
      <c r="C67" s="3"/>
      <c r="D67" s="3"/>
      <c r="E67" s="3"/>
      <c r="F67" s="3"/>
      <c r="G67" s="3"/>
      <c r="H67" s="3"/>
      <c r="I67" s="3"/>
      <c r="J67" s="3"/>
    </row>
    <row r="68" spans="2:10">
      <c r="B68" s="3"/>
      <c r="C68" s="3"/>
      <c r="D68" s="3"/>
      <c r="E68" s="3"/>
      <c r="F68" s="3"/>
      <c r="G68" s="3"/>
      <c r="H68" s="3"/>
      <c r="I68" s="3"/>
      <c r="J68" s="3"/>
    </row>
    <row r="69" spans="2:10">
      <c r="B69" s="3"/>
      <c r="C69" s="3"/>
      <c r="D69" s="3"/>
      <c r="E69" s="3"/>
      <c r="F69" s="3"/>
      <c r="G69" s="3"/>
      <c r="H69" s="3"/>
      <c r="I69" s="3"/>
      <c r="J69" s="3"/>
    </row>
    <row r="70" spans="2:10">
      <c r="B70" s="3"/>
      <c r="C70" s="3"/>
      <c r="D70" s="3"/>
      <c r="E70" s="3"/>
      <c r="F70" s="3"/>
      <c r="G70" s="3"/>
      <c r="H70" s="3"/>
      <c r="I70" s="3"/>
      <c r="J70" s="3"/>
    </row>
    <row r="71" spans="2:10">
      <c r="B71" s="3"/>
      <c r="C71" s="3"/>
      <c r="D71" s="3"/>
      <c r="E71" s="3"/>
      <c r="F71" s="3"/>
      <c r="G71" s="3"/>
      <c r="H71" s="3"/>
      <c r="I71" s="3"/>
      <c r="J71" s="3"/>
    </row>
    <row r="72" spans="2:10">
      <c r="B72" s="3"/>
      <c r="C72" s="3"/>
      <c r="D72" s="3"/>
      <c r="E72" s="3"/>
      <c r="F72" s="3"/>
      <c r="G72" s="3"/>
      <c r="H72" s="3"/>
      <c r="I72" s="3"/>
      <c r="J72" s="3"/>
    </row>
    <row r="73" spans="2:10">
      <c r="B73" s="3"/>
      <c r="C73" s="3"/>
      <c r="D73" s="3"/>
      <c r="E73" s="3"/>
      <c r="F73" s="3"/>
      <c r="G73" s="3"/>
      <c r="H73" s="3"/>
      <c r="I73" s="3"/>
      <c r="J73" s="3"/>
    </row>
    <row r="74" spans="2:10">
      <c r="B74" s="3"/>
      <c r="C74" s="3"/>
      <c r="D74" s="3"/>
      <c r="E74" s="3"/>
      <c r="F74" s="3"/>
      <c r="G74" s="3"/>
      <c r="H74" s="3"/>
      <c r="I74" s="3"/>
      <c r="J74" s="3"/>
    </row>
    <row r="75" spans="2:10">
      <c r="B75" s="3"/>
      <c r="C75" s="3"/>
      <c r="D75" s="3"/>
      <c r="E75" s="3"/>
      <c r="F75" s="3"/>
      <c r="G75" s="3"/>
      <c r="H75" s="3"/>
      <c r="I75" s="3"/>
      <c r="J75" s="3"/>
    </row>
    <row r="76" spans="2:10">
      <c r="B76" s="3"/>
      <c r="C76" s="3"/>
      <c r="D76" s="3"/>
      <c r="E76" s="3"/>
      <c r="F76" s="3"/>
      <c r="G76" s="3"/>
      <c r="H76" s="3"/>
      <c r="I76" s="3"/>
      <c r="J76" s="3"/>
    </row>
    <row r="77" spans="2:10">
      <c r="B77" s="3"/>
      <c r="C77" s="3"/>
      <c r="D77" s="3"/>
      <c r="E77" s="3"/>
      <c r="F77" s="3"/>
      <c r="G77" s="3"/>
      <c r="H77" s="3"/>
      <c r="I77" s="3"/>
      <c r="J77" s="3"/>
    </row>
    <row r="78" spans="2:10">
      <c r="B78" s="3"/>
      <c r="C78" s="3"/>
      <c r="D78" s="3"/>
      <c r="E78" s="3"/>
      <c r="F78" s="3"/>
      <c r="G78" s="3"/>
      <c r="H78" s="3"/>
      <c r="I78" s="3"/>
      <c r="J78" s="3"/>
    </row>
    <row r="79" spans="2:10">
      <c r="B79" s="3"/>
      <c r="C79" s="3"/>
      <c r="D79" s="3"/>
      <c r="E79" s="3"/>
      <c r="F79" s="3"/>
      <c r="G79" s="3"/>
      <c r="H79" s="3"/>
      <c r="I79" s="3"/>
      <c r="J79" s="3"/>
    </row>
    <row r="80" spans="2:10">
      <c r="B80" s="3"/>
      <c r="C80" s="3"/>
      <c r="D80" s="3"/>
      <c r="E80" s="3"/>
      <c r="F80" s="3"/>
      <c r="G80" s="3"/>
      <c r="H80" s="3"/>
      <c r="I80" s="3"/>
      <c r="J80" s="3"/>
    </row>
    <row r="81" spans="2:10">
      <c r="B81" s="3"/>
      <c r="C81" s="3"/>
      <c r="D81" s="3"/>
      <c r="E81" s="3"/>
      <c r="F81" s="3"/>
      <c r="G81" s="3"/>
      <c r="H81" s="3"/>
      <c r="I81" s="3"/>
      <c r="J81" s="3"/>
    </row>
    <row r="82" spans="2:10">
      <c r="B82" s="3"/>
      <c r="C82" s="3"/>
      <c r="D82" s="3"/>
      <c r="E82" s="3"/>
      <c r="F82" s="3"/>
      <c r="G82" s="3"/>
      <c r="H82" s="3"/>
      <c r="I82" s="3"/>
      <c r="J82" s="3"/>
    </row>
    <row r="83" spans="2:10">
      <c r="B83" s="3"/>
      <c r="C83" s="3"/>
      <c r="D83" s="3"/>
      <c r="E83" s="3"/>
      <c r="F83" s="3"/>
      <c r="G83" s="3"/>
      <c r="H83" s="3"/>
      <c r="I83" s="3"/>
      <c r="J83" s="3"/>
    </row>
    <row r="84" spans="2:10">
      <c r="B84" s="3"/>
      <c r="C84" s="3"/>
      <c r="D84" s="3"/>
      <c r="E84" s="3"/>
      <c r="F84" s="3"/>
      <c r="G84" s="3"/>
      <c r="H84" s="3"/>
      <c r="I84" s="3"/>
      <c r="J84" s="3"/>
    </row>
    <row r="85" spans="2:10">
      <c r="B85" s="3"/>
      <c r="C85" s="3"/>
      <c r="D85" s="3"/>
      <c r="E85" s="3"/>
      <c r="F85" s="3"/>
      <c r="G85" s="3"/>
      <c r="H85" s="3"/>
      <c r="I85" s="3"/>
      <c r="J85" s="3"/>
    </row>
    <row r="86" spans="2:10">
      <c r="B86" s="3"/>
      <c r="C86" s="3"/>
      <c r="D86" s="3"/>
      <c r="E86" s="3"/>
      <c r="F86" s="3"/>
      <c r="G86" s="3"/>
      <c r="H86" s="3"/>
      <c r="I86" s="3"/>
      <c r="J86" s="3"/>
    </row>
    <row r="87" spans="2:10">
      <c r="B87" s="3"/>
      <c r="C87" s="3"/>
      <c r="D87" s="3"/>
      <c r="E87" s="3"/>
      <c r="F87" s="3"/>
      <c r="G87" s="3"/>
      <c r="H87" s="3"/>
      <c r="I87" s="3"/>
      <c r="J87" s="3"/>
    </row>
    <row r="88" spans="2:10">
      <c r="B88" s="3"/>
      <c r="C88" s="3"/>
      <c r="D88" s="3"/>
      <c r="E88" s="3"/>
      <c r="F88" s="3"/>
      <c r="G88" s="3"/>
      <c r="H88" s="3"/>
      <c r="I88" s="3"/>
      <c r="J88" s="3"/>
    </row>
    <row r="89" spans="2:10">
      <c r="B89" s="3"/>
      <c r="C89" s="3"/>
      <c r="D89" s="3"/>
      <c r="E89" s="3"/>
      <c r="F89" s="3"/>
      <c r="G89" s="3"/>
      <c r="H89" s="3"/>
      <c r="I89" s="3"/>
      <c r="J89" s="3"/>
    </row>
    <row r="90" spans="2:10">
      <c r="B90" s="3"/>
      <c r="C90" s="3"/>
      <c r="D90" s="3"/>
      <c r="E90" s="3"/>
      <c r="F90" s="3"/>
      <c r="G90" s="3"/>
      <c r="H90" s="3"/>
      <c r="I90" s="3"/>
      <c r="J90" s="3"/>
    </row>
    <row r="91" spans="2:10">
      <c r="B91" s="3"/>
      <c r="C91" s="3"/>
      <c r="D91" s="3"/>
      <c r="E91" s="3"/>
      <c r="F91" s="3"/>
      <c r="G91" s="3"/>
      <c r="H91" s="3"/>
      <c r="I91" s="3"/>
      <c r="J91" s="3"/>
    </row>
    <row r="92" spans="2:10">
      <c r="B92" s="3"/>
      <c r="C92" s="3"/>
      <c r="D92" s="3"/>
      <c r="E92" s="3"/>
      <c r="F92" s="3"/>
      <c r="G92" s="3"/>
      <c r="H92" s="3"/>
      <c r="I92" s="3"/>
      <c r="J92" s="3"/>
    </row>
    <row r="93" spans="2:10">
      <c r="B93" s="3"/>
      <c r="C93" s="3"/>
      <c r="D93" s="3"/>
      <c r="E93" s="3"/>
      <c r="F93" s="3"/>
      <c r="G93" s="3"/>
      <c r="H93" s="3"/>
      <c r="I93" s="3"/>
      <c r="J93" s="3"/>
    </row>
    <row r="94" spans="2:10">
      <c r="B94" s="3"/>
      <c r="C94" s="3"/>
      <c r="D94" s="3"/>
      <c r="E94" s="3"/>
      <c r="F94" s="3"/>
      <c r="G94" s="3"/>
      <c r="H94" s="3"/>
      <c r="I94" s="3"/>
      <c r="J94" s="3"/>
    </row>
    <row r="95" spans="2:10">
      <c r="B95" s="3"/>
      <c r="C95" s="3"/>
      <c r="D95" s="3"/>
      <c r="E95" s="3"/>
      <c r="F95" s="3"/>
      <c r="G95" s="3"/>
      <c r="H95" s="3"/>
      <c r="I95" s="3"/>
      <c r="J95" s="3"/>
    </row>
    <row r="96" spans="2:10">
      <c r="B96" s="3"/>
      <c r="C96" s="3"/>
      <c r="D96" s="3"/>
      <c r="E96" s="3"/>
      <c r="F96" s="3"/>
      <c r="G96" s="3"/>
      <c r="H96" s="3"/>
      <c r="I96" s="3"/>
      <c r="J96" s="3"/>
    </row>
    <row r="97" spans="2:10">
      <c r="B97" s="3"/>
      <c r="C97" s="3"/>
      <c r="D97" s="3"/>
      <c r="E97" s="3"/>
      <c r="F97" s="3"/>
      <c r="G97" s="3"/>
      <c r="H97" s="3"/>
      <c r="I97" s="3"/>
      <c r="J97" s="3"/>
    </row>
    <row r="98" spans="2:10">
      <c r="B98" s="3"/>
      <c r="C98" s="3"/>
      <c r="D98" s="3"/>
      <c r="E98" s="3"/>
      <c r="F98" s="3"/>
      <c r="G98" s="3"/>
      <c r="H98" s="3"/>
      <c r="I98" s="3"/>
      <c r="J98" s="3"/>
    </row>
    <row r="99" spans="2:10">
      <c r="B99" s="3"/>
      <c r="C99" s="3"/>
      <c r="D99" s="3"/>
      <c r="E99" s="3"/>
      <c r="F99" s="3"/>
      <c r="G99" s="3"/>
      <c r="H99" s="3"/>
      <c r="I99" s="3"/>
      <c r="J99" s="3"/>
    </row>
    <row r="100" spans="2:10">
      <c r="B100" s="3"/>
      <c r="C100" s="3"/>
      <c r="D100" s="3"/>
      <c r="E100" s="3"/>
      <c r="F100" s="3"/>
      <c r="G100" s="3"/>
      <c r="H100" s="3"/>
      <c r="I100" s="3"/>
      <c r="J100" s="3"/>
    </row>
    <row r="101" spans="2:10">
      <c r="B101" s="3"/>
      <c r="C101" s="3"/>
      <c r="D101" s="3"/>
      <c r="E101" s="3"/>
      <c r="F101" s="3"/>
      <c r="G101" s="3"/>
      <c r="H101" s="3"/>
      <c r="I101" s="3"/>
      <c r="J101" s="3"/>
    </row>
    <row r="102" spans="2:10">
      <c r="B102" s="3"/>
      <c r="C102" s="3"/>
      <c r="D102" s="3"/>
      <c r="E102" s="3"/>
      <c r="F102" s="3"/>
      <c r="G102" s="3"/>
      <c r="H102" s="3"/>
      <c r="I102" s="3"/>
      <c r="J102" s="3"/>
    </row>
    <row r="103" spans="2:10">
      <c r="B103" s="3"/>
      <c r="C103" s="3"/>
      <c r="D103" s="3"/>
      <c r="E103" s="3"/>
      <c r="F103" s="3"/>
      <c r="G103" s="3"/>
      <c r="H103" s="3"/>
      <c r="I103" s="3"/>
      <c r="J103" s="3"/>
    </row>
    <row r="104" spans="2:10">
      <c r="B104" s="3"/>
      <c r="C104" s="3"/>
      <c r="D104" s="3"/>
      <c r="E104" s="3"/>
      <c r="F104" s="3"/>
      <c r="G104" s="3"/>
      <c r="H104" s="3"/>
      <c r="I104" s="3"/>
      <c r="J104" s="3"/>
    </row>
    <row r="105" spans="2:10">
      <c r="B105" s="3"/>
      <c r="C105" s="3"/>
      <c r="D105" s="3"/>
      <c r="E105" s="3"/>
      <c r="F105" s="3"/>
      <c r="G105" s="3"/>
      <c r="H105" s="3"/>
      <c r="I105" s="3"/>
      <c r="J105" s="3"/>
    </row>
    <row r="106" spans="2:10">
      <c r="B106" s="3"/>
      <c r="C106" s="3"/>
      <c r="D106" s="3"/>
      <c r="E106" s="3"/>
      <c r="F106" s="3"/>
      <c r="G106" s="3"/>
      <c r="H106" s="3"/>
      <c r="I106" s="3"/>
      <c r="J106" s="3"/>
    </row>
    <row r="107" spans="2:10">
      <c r="B107" s="3"/>
      <c r="C107" s="3"/>
      <c r="D107" s="3"/>
      <c r="E107" s="3"/>
      <c r="F107" s="3"/>
      <c r="G107" s="3"/>
      <c r="H107" s="3"/>
      <c r="I107" s="3"/>
      <c r="J107" s="3"/>
    </row>
    <row r="108" spans="2:10">
      <c r="B108" s="3"/>
      <c r="C108" s="3"/>
      <c r="D108" s="3"/>
      <c r="E108" s="3"/>
      <c r="F108" s="3"/>
      <c r="G108" s="3"/>
      <c r="H108" s="3"/>
      <c r="I108" s="3"/>
      <c r="J108" s="3"/>
    </row>
    <row r="109" spans="2:10">
      <c r="B109" s="3"/>
      <c r="C109" s="3"/>
      <c r="D109" s="3"/>
      <c r="E109" s="3"/>
      <c r="F109" s="3"/>
      <c r="G109" s="3"/>
      <c r="H109" s="3"/>
      <c r="I109" s="3"/>
      <c r="J109" s="3"/>
    </row>
    <row r="110" spans="2:10">
      <c r="B110" s="3"/>
      <c r="C110" s="3"/>
      <c r="D110" s="3"/>
      <c r="E110" s="3"/>
      <c r="F110" s="3"/>
      <c r="G110" s="3"/>
      <c r="H110" s="3"/>
      <c r="I110" s="3"/>
      <c r="J110" s="3"/>
    </row>
    <row r="111" spans="2:10">
      <c r="B111" s="3"/>
      <c r="C111" s="3"/>
      <c r="D111" s="3"/>
      <c r="E111" s="3"/>
      <c r="F111" s="3"/>
      <c r="G111" s="3"/>
      <c r="H111" s="3"/>
      <c r="I111" s="3"/>
      <c r="J111" s="3"/>
    </row>
    <row r="112" spans="2:10">
      <c r="B112" s="3"/>
      <c r="C112" s="3"/>
      <c r="D112" s="3"/>
      <c r="E112" s="3"/>
      <c r="F112" s="3"/>
      <c r="G112" s="3"/>
      <c r="H112" s="3"/>
      <c r="I112" s="3"/>
      <c r="J112" s="3"/>
    </row>
    <row r="113" spans="2:10">
      <c r="B113" s="3"/>
      <c r="C113" s="3"/>
      <c r="D113" s="3"/>
      <c r="E113" s="3"/>
      <c r="F113" s="3"/>
      <c r="G113" s="3"/>
      <c r="H113" s="3"/>
      <c r="I113" s="3"/>
      <c r="J113" s="3"/>
    </row>
    <row r="114" spans="2:10">
      <c r="B114" s="3"/>
      <c r="C114" s="3"/>
      <c r="D114" s="3"/>
      <c r="E114" s="3"/>
      <c r="F114" s="3"/>
      <c r="G114" s="3"/>
      <c r="H114" s="3"/>
      <c r="I114" s="3"/>
      <c r="J114" s="3"/>
    </row>
    <row r="115" spans="2:10">
      <c r="B115" s="3"/>
      <c r="C115" s="3"/>
      <c r="D115" s="3"/>
      <c r="E115" s="3"/>
      <c r="F115" s="3"/>
      <c r="G115" s="3"/>
      <c r="H115" s="3"/>
      <c r="I115" s="3"/>
      <c r="J115" s="3"/>
    </row>
    <row r="116" spans="2:10">
      <c r="B116" s="3"/>
      <c r="C116" s="3"/>
      <c r="D116" s="3"/>
      <c r="E116" s="3"/>
      <c r="F116" s="3"/>
      <c r="G116" s="3"/>
      <c r="H116" s="3"/>
      <c r="I116" s="3"/>
      <c r="J116" s="3"/>
    </row>
    <row r="117" spans="2:10">
      <c r="B117" s="3"/>
      <c r="C117" s="3"/>
      <c r="D117" s="3"/>
      <c r="E117" s="3"/>
      <c r="F117" s="3"/>
      <c r="G117" s="3"/>
      <c r="H117" s="3"/>
      <c r="I117" s="3"/>
      <c r="J117" s="3"/>
    </row>
    <row r="118" spans="2:10">
      <c r="B118" s="3"/>
      <c r="C118" s="3"/>
      <c r="D118" s="3"/>
      <c r="E118" s="3"/>
      <c r="F118" s="3"/>
      <c r="G118" s="3"/>
      <c r="H118" s="3"/>
      <c r="I118" s="3"/>
      <c r="J118" s="3"/>
    </row>
    <row r="119" spans="2:10">
      <c r="B119" s="3"/>
      <c r="C119" s="3"/>
      <c r="D119" s="3"/>
      <c r="E119" s="3"/>
      <c r="F119" s="3"/>
      <c r="G119" s="3"/>
      <c r="H119" s="3"/>
      <c r="I119" s="3"/>
      <c r="J119" s="3"/>
    </row>
    <row r="120" spans="2:10">
      <c r="B120" s="3"/>
      <c r="C120" s="3"/>
      <c r="D120" s="3"/>
      <c r="E120" s="3"/>
      <c r="F120" s="3"/>
      <c r="G120" s="3"/>
      <c r="H120" s="3"/>
      <c r="I120" s="3"/>
      <c r="J120" s="3"/>
    </row>
    <row r="121" spans="2:10">
      <c r="B121" s="3"/>
      <c r="C121" s="3"/>
      <c r="D121" s="3"/>
      <c r="E121" s="3"/>
      <c r="F121" s="3"/>
      <c r="G121" s="3"/>
      <c r="H121" s="3"/>
      <c r="I121" s="3"/>
      <c r="J121" s="3"/>
    </row>
    <row r="122" spans="2:10">
      <c r="B122" s="3"/>
      <c r="C122" s="3"/>
      <c r="D122" s="3"/>
      <c r="E122" s="3"/>
      <c r="F122" s="3"/>
      <c r="G122" s="3"/>
      <c r="H122" s="3"/>
      <c r="I122" s="3"/>
      <c r="J122" s="3"/>
    </row>
    <row r="123" spans="2:10">
      <c r="B123" s="3"/>
      <c r="C123" s="3"/>
      <c r="D123" s="3"/>
      <c r="E123" s="3"/>
      <c r="F123" s="3"/>
      <c r="G123" s="3"/>
      <c r="H123" s="3"/>
      <c r="I123" s="3"/>
      <c r="J123" s="3"/>
    </row>
    <row r="124" spans="2:10">
      <c r="B124" s="3"/>
      <c r="C124" s="3"/>
      <c r="D124" s="3"/>
      <c r="E124" s="3"/>
      <c r="F124" s="3"/>
      <c r="G124" s="3"/>
      <c r="H124" s="3"/>
      <c r="I124" s="3"/>
      <c r="J124" s="3"/>
    </row>
    <row r="125" spans="2:10">
      <c r="B125" s="3"/>
      <c r="C125" s="3"/>
      <c r="D125" s="3"/>
      <c r="E125" s="3"/>
      <c r="F125" s="3"/>
      <c r="G125" s="3"/>
      <c r="H125" s="3"/>
      <c r="I125" s="3"/>
      <c r="J125" s="3"/>
    </row>
    <row r="126" spans="2:10">
      <c r="B126" s="3"/>
      <c r="C126" s="3"/>
      <c r="D126" s="3"/>
      <c r="E126" s="3"/>
      <c r="F126" s="3"/>
      <c r="G126" s="3"/>
      <c r="H126" s="3"/>
      <c r="I126" s="3"/>
      <c r="J126" s="3"/>
    </row>
    <row r="127" spans="2:10">
      <c r="B127" s="3"/>
      <c r="C127" s="3"/>
      <c r="D127" s="3"/>
      <c r="E127" s="3"/>
      <c r="F127" s="3"/>
      <c r="G127" s="3"/>
      <c r="H127" s="3"/>
      <c r="I127" s="3"/>
      <c r="J127" s="3"/>
    </row>
    <row r="128" spans="2:10">
      <c r="B128" s="3"/>
      <c r="C128" s="3"/>
      <c r="D128" s="3"/>
      <c r="E128" s="3"/>
      <c r="F128" s="3"/>
      <c r="G128" s="3"/>
      <c r="H128" s="3"/>
      <c r="I128" s="3"/>
      <c r="J128" s="3"/>
    </row>
    <row r="129" spans="2:10">
      <c r="B129" s="3"/>
      <c r="C129" s="3"/>
      <c r="D129" s="3"/>
      <c r="E129" s="3"/>
      <c r="F129" s="3"/>
      <c r="G129" s="3"/>
      <c r="H129" s="3"/>
      <c r="I129" s="3"/>
      <c r="J129" s="3"/>
    </row>
    <row r="130" spans="2:10">
      <c r="B130" s="3"/>
      <c r="C130" s="3"/>
      <c r="D130" s="3"/>
      <c r="E130" s="3"/>
      <c r="F130" s="3"/>
      <c r="G130" s="3"/>
      <c r="H130" s="3"/>
      <c r="I130" s="3"/>
      <c r="J130" s="3"/>
    </row>
    <row r="131" spans="2:10">
      <c r="B131" s="3"/>
      <c r="C131" s="3"/>
      <c r="D131" s="3"/>
      <c r="E131" s="3"/>
      <c r="F131" s="3"/>
      <c r="G131" s="3"/>
      <c r="H131" s="3"/>
      <c r="I131" s="3"/>
      <c r="J131" s="3"/>
    </row>
    <row r="132" spans="2:10">
      <c r="B132" s="3"/>
      <c r="C132" s="3"/>
      <c r="D132" s="3"/>
      <c r="E132" s="3"/>
      <c r="F132" s="3"/>
      <c r="G132" s="3"/>
      <c r="H132" s="3"/>
      <c r="I132" s="3"/>
      <c r="J132" s="3"/>
    </row>
    <row r="133" spans="2:10">
      <c r="B133" s="3"/>
      <c r="C133" s="3"/>
      <c r="D133" s="3"/>
      <c r="E133" s="3"/>
      <c r="F133" s="3"/>
      <c r="G133" s="3"/>
      <c r="H133" s="3"/>
      <c r="I133" s="3"/>
      <c r="J133" s="3"/>
    </row>
    <row r="134" spans="2:10">
      <c r="B134" s="3"/>
      <c r="C134" s="3"/>
      <c r="D134" s="3"/>
      <c r="E134" s="3"/>
      <c r="F134" s="3"/>
      <c r="G134" s="3"/>
      <c r="H134" s="3"/>
      <c r="I134" s="3"/>
      <c r="J134" s="3"/>
    </row>
    <row r="135" spans="2:10">
      <c r="B135" s="3"/>
      <c r="C135" s="3"/>
      <c r="D135" s="3"/>
      <c r="E135" s="3"/>
      <c r="F135" s="3"/>
      <c r="G135" s="3"/>
      <c r="H135" s="3"/>
      <c r="I135" s="3"/>
      <c r="J135" s="3"/>
    </row>
    <row r="136" spans="2:10">
      <c r="B136" s="3"/>
      <c r="C136" s="3"/>
      <c r="D136" s="3"/>
      <c r="E136" s="3"/>
      <c r="F136" s="3"/>
      <c r="G136" s="3"/>
      <c r="H136" s="3"/>
      <c r="I136" s="3"/>
      <c r="J136" s="3"/>
    </row>
    <row r="137" spans="2:10">
      <c r="B137" s="3"/>
      <c r="C137" s="3"/>
      <c r="D137" s="3"/>
      <c r="E137" s="3"/>
      <c r="F137" s="3"/>
      <c r="G137" s="3"/>
      <c r="H137" s="3"/>
      <c r="I137" s="3"/>
      <c r="J137" s="3"/>
    </row>
    <row r="138" spans="2:10">
      <c r="B138" s="3"/>
      <c r="C138" s="3"/>
      <c r="D138" s="3"/>
      <c r="E138" s="3"/>
      <c r="F138" s="3"/>
      <c r="G138" s="3"/>
      <c r="H138" s="3"/>
      <c r="I138" s="3"/>
      <c r="J138" s="3"/>
    </row>
    <row r="139" spans="2:10">
      <c r="B139" s="3"/>
      <c r="C139" s="3"/>
      <c r="D139" s="3"/>
      <c r="E139" s="3"/>
      <c r="F139" s="3"/>
      <c r="G139" s="3"/>
      <c r="H139" s="3"/>
      <c r="I139" s="3"/>
      <c r="J139" s="3"/>
    </row>
    <row r="140" spans="2:10">
      <c r="B140" s="3"/>
      <c r="C140" s="3"/>
      <c r="D140" s="3"/>
      <c r="E140" s="3"/>
      <c r="F140" s="3"/>
      <c r="G140" s="3"/>
      <c r="H140" s="3"/>
      <c r="I140" s="3"/>
      <c r="J140" s="3"/>
    </row>
    <row r="141" spans="2:10">
      <c r="B141" s="3"/>
      <c r="C141" s="3"/>
      <c r="D141" s="3"/>
      <c r="E141" s="3"/>
      <c r="F141" s="3"/>
      <c r="G141" s="3"/>
      <c r="H141" s="3"/>
      <c r="I141" s="3"/>
      <c r="J141" s="3"/>
    </row>
    <row r="142" spans="2:10">
      <c r="B142" s="3"/>
      <c r="C142" s="3"/>
      <c r="D142" s="3"/>
      <c r="E142" s="3"/>
      <c r="F142" s="3"/>
      <c r="G142" s="3"/>
      <c r="H142" s="3"/>
      <c r="I142" s="3"/>
      <c r="J142" s="3"/>
    </row>
    <row r="143" spans="2:10">
      <c r="B143" s="3"/>
      <c r="C143" s="3"/>
      <c r="D143" s="3"/>
      <c r="E143" s="3"/>
      <c r="F143" s="3"/>
      <c r="G143" s="3"/>
      <c r="H143" s="3"/>
      <c r="I143" s="3"/>
      <c r="J143" s="3"/>
    </row>
    <row r="144" spans="2:10">
      <c r="B144" s="3"/>
      <c r="C144" s="3"/>
      <c r="D144" s="3"/>
      <c r="E144" s="3"/>
      <c r="F144" s="3"/>
      <c r="G144" s="3"/>
      <c r="H144" s="3"/>
      <c r="I144" s="3"/>
      <c r="J144" s="3"/>
    </row>
    <row r="145" spans="2:10">
      <c r="B145" s="3"/>
      <c r="C145" s="3"/>
      <c r="D145" s="3"/>
      <c r="E145" s="3"/>
      <c r="F145" s="3"/>
      <c r="G145" s="3"/>
      <c r="H145" s="3"/>
      <c r="I145" s="3"/>
      <c r="J145" s="3"/>
    </row>
    <row r="146" spans="2:10">
      <c r="B146" s="3"/>
      <c r="C146" s="3"/>
      <c r="D146" s="3"/>
      <c r="E146" s="3"/>
      <c r="F146" s="3"/>
      <c r="G146" s="3"/>
      <c r="H146" s="3"/>
      <c r="I146" s="3"/>
      <c r="J146" s="3"/>
    </row>
    <row r="147" spans="2:10">
      <c r="B147" s="3"/>
      <c r="C147" s="3"/>
      <c r="D147" s="3"/>
      <c r="E147" s="3"/>
      <c r="F147" s="3"/>
      <c r="G147" s="3"/>
      <c r="H147" s="3"/>
      <c r="I147" s="3"/>
      <c r="J147" s="3"/>
    </row>
    <row r="148" spans="2:10">
      <c r="B148" s="3"/>
      <c r="C148" s="3"/>
      <c r="D148" s="3"/>
      <c r="E148" s="3"/>
      <c r="F148" s="3"/>
      <c r="G148" s="3"/>
      <c r="H148" s="3"/>
      <c r="I148" s="3"/>
      <c r="J148" s="3"/>
    </row>
    <row r="149" spans="2:10">
      <c r="B149" s="3"/>
      <c r="C149" s="3"/>
      <c r="D149" s="3"/>
      <c r="E149" s="3"/>
      <c r="F149" s="3"/>
      <c r="G149" s="3"/>
      <c r="H149" s="3"/>
      <c r="I149" s="3"/>
      <c r="J149" s="3"/>
    </row>
    <row r="150" spans="2:10">
      <c r="B150" s="3"/>
      <c r="C150" s="3"/>
      <c r="D150" s="3"/>
      <c r="E150" s="3"/>
      <c r="F150" s="3"/>
      <c r="G150" s="3"/>
      <c r="H150" s="3"/>
      <c r="I150" s="3"/>
      <c r="J150" s="3"/>
    </row>
    <row r="151" spans="2:10">
      <c r="B151" s="3"/>
      <c r="C151" s="3"/>
      <c r="D151" s="3"/>
      <c r="E151" s="3"/>
      <c r="F151" s="3"/>
      <c r="G151" s="3"/>
      <c r="H151" s="3"/>
      <c r="I151" s="3"/>
      <c r="J151" s="3"/>
    </row>
    <row r="152" spans="2:10">
      <c r="B152" s="3"/>
      <c r="C152" s="3"/>
      <c r="D152" s="3"/>
      <c r="E152" s="3"/>
      <c r="F152" s="3"/>
      <c r="G152" s="3"/>
      <c r="H152" s="3"/>
      <c r="I152" s="3"/>
      <c r="J152" s="3"/>
    </row>
    <row r="153" spans="2:10">
      <c r="B153" s="3"/>
      <c r="C153" s="3"/>
      <c r="D153" s="3"/>
      <c r="E153" s="3"/>
      <c r="F153" s="3"/>
      <c r="G153" s="3"/>
      <c r="H153" s="3"/>
      <c r="I153" s="3"/>
      <c r="J153" s="3"/>
    </row>
    <row r="154" spans="2:10">
      <c r="B154" s="3"/>
      <c r="C154" s="3"/>
      <c r="D154" s="3"/>
      <c r="E154" s="3"/>
      <c r="F154" s="3"/>
      <c r="G154" s="3"/>
      <c r="H154" s="3"/>
      <c r="I154" s="3"/>
      <c r="J154" s="3"/>
    </row>
    <row r="155" spans="2:10">
      <c r="B155" s="3"/>
      <c r="C155" s="3"/>
      <c r="D155" s="3"/>
      <c r="E155" s="3"/>
      <c r="F155" s="3"/>
      <c r="G155" s="3"/>
      <c r="H155" s="3"/>
      <c r="I155" s="3"/>
      <c r="J155" s="3"/>
    </row>
    <row r="156" spans="2:10">
      <c r="B156" s="3"/>
      <c r="C156" s="3"/>
      <c r="D156" s="3"/>
      <c r="E156" s="3"/>
      <c r="F156" s="3"/>
      <c r="G156" s="3"/>
      <c r="H156" s="3"/>
      <c r="I156" s="3"/>
      <c r="J156" s="3"/>
    </row>
    <row r="157" spans="2:10">
      <c r="B157" s="3"/>
      <c r="C157" s="3"/>
      <c r="D157" s="3"/>
      <c r="E157" s="3"/>
      <c r="F157" s="3"/>
      <c r="G157" s="3"/>
      <c r="H157" s="3"/>
      <c r="I157" s="3"/>
      <c r="J157" s="3"/>
    </row>
    <row r="158" spans="2:10">
      <c r="B158" s="3"/>
      <c r="C158" s="3"/>
      <c r="D158" s="3"/>
      <c r="E158" s="3"/>
      <c r="F158" s="3"/>
      <c r="G158" s="3"/>
      <c r="H158" s="3"/>
      <c r="I158" s="3"/>
      <c r="J158" s="3"/>
    </row>
    <row r="159" spans="2:10">
      <c r="B159" s="3"/>
      <c r="C159" s="3"/>
      <c r="D159" s="3"/>
      <c r="E159" s="3"/>
      <c r="F159" s="3"/>
      <c r="G159" s="3"/>
      <c r="H159" s="3"/>
      <c r="I159" s="3"/>
      <c r="J159" s="3"/>
    </row>
    <row r="160" spans="2:10">
      <c r="B160" s="3"/>
      <c r="C160" s="3"/>
      <c r="D160" s="3"/>
      <c r="E160" s="3"/>
      <c r="F160" s="3"/>
      <c r="G160" s="3"/>
      <c r="H160" s="3"/>
      <c r="I160" s="3"/>
      <c r="J160" s="3"/>
    </row>
    <row r="161" spans="2:10">
      <c r="B161" s="3"/>
      <c r="C161" s="3"/>
      <c r="D161" s="3"/>
      <c r="E161" s="3"/>
      <c r="F161" s="3"/>
      <c r="G161" s="3"/>
      <c r="H161" s="3"/>
      <c r="I161" s="3"/>
      <c r="J161" s="3"/>
    </row>
    <row r="162" spans="2:10">
      <c r="B162" s="3"/>
      <c r="C162" s="3"/>
      <c r="D162" s="3"/>
      <c r="E162" s="3"/>
      <c r="F162" s="3"/>
      <c r="G162" s="3"/>
      <c r="H162" s="3"/>
      <c r="I162" s="3"/>
      <c r="J162" s="3"/>
    </row>
    <row r="163" spans="2:10">
      <c r="B163" s="3"/>
      <c r="C163" s="3"/>
      <c r="D163" s="3"/>
      <c r="E163" s="3"/>
      <c r="F163" s="3"/>
      <c r="G163" s="3"/>
      <c r="H163" s="3"/>
      <c r="I163" s="3"/>
      <c r="J163" s="3"/>
    </row>
    <row r="164" spans="2:10">
      <c r="B164" s="3"/>
      <c r="C164" s="3"/>
      <c r="D164" s="3"/>
      <c r="E164" s="3"/>
      <c r="F164" s="3"/>
      <c r="G164" s="3"/>
      <c r="H164" s="3"/>
      <c r="I164" s="3"/>
      <c r="J164" s="3"/>
    </row>
    <row r="165" spans="2:10">
      <c r="B165" s="3"/>
      <c r="C165" s="3"/>
      <c r="D165" s="3"/>
      <c r="E165" s="3"/>
      <c r="F165" s="3"/>
      <c r="G165" s="3"/>
      <c r="H165" s="3"/>
      <c r="I165" s="3"/>
      <c r="J165" s="3"/>
    </row>
    <row r="166" spans="2:10">
      <c r="B166" s="3"/>
      <c r="C166" s="3"/>
      <c r="D166" s="3"/>
      <c r="E166" s="3"/>
      <c r="F166" s="3"/>
      <c r="G166" s="3"/>
      <c r="H166" s="3"/>
      <c r="I166" s="3"/>
      <c r="J166" s="3"/>
    </row>
    <row r="167" spans="2:10">
      <c r="B167" s="3"/>
      <c r="C167" s="3"/>
      <c r="D167" s="3"/>
      <c r="E167" s="3"/>
      <c r="F167" s="3"/>
      <c r="G167" s="3"/>
      <c r="H167" s="3"/>
      <c r="I167" s="3"/>
      <c r="J167" s="3"/>
    </row>
    <row r="168" spans="2:10">
      <c r="B168" s="3"/>
      <c r="C168" s="3"/>
      <c r="D168" s="3"/>
      <c r="E168" s="3"/>
      <c r="F168" s="3"/>
      <c r="G168" s="3"/>
      <c r="H168" s="3"/>
      <c r="I168" s="3"/>
      <c r="J168" s="3"/>
    </row>
    <row r="169" spans="2:10">
      <c r="B169" s="3"/>
      <c r="C169" s="3"/>
      <c r="D169" s="3"/>
      <c r="E169" s="3"/>
      <c r="F169" s="3"/>
      <c r="G169" s="3"/>
      <c r="H169" s="3"/>
      <c r="I169" s="3"/>
      <c r="J169" s="3"/>
    </row>
    <row r="170" spans="2:10">
      <c r="B170" s="3"/>
      <c r="C170" s="3"/>
      <c r="D170" s="3"/>
      <c r="E170" s="3"/>
      <c r="F170" s="3"/>
      <c r="G170" s="3"/>
      <c r="H170" s="3"/>
      <c r="I170" s="3"/>
      <c r="J170" s="3"/>
    </row>
    <row r="171" spans="2:10">
      <c r="B171" s="3"/>
      <c r="C171" s="3"/>
      <c r="D171" s="3"/>
      <c r="E171" s="3"/>
      <c r="F171" s="3"/>
      <c r="G171" s="3"/>
      <c r="H171" s="3"/>
      <c r="I171" s="3"/>
      <c r="J171" s="3"/>
    </row>
    <row r="172" spans="2:10">
      <c r="B172" s="3"/>
      <c r="C172" s="3"/>
      <c r="D172" s="3"/>
      <c r="E172" s="3"/>
      <c r="F172" s="3"/>
      <c r="G172" s="3"/>
      <c r="H172" s="3"/>
      <c r="I172" s="3"/>
      <c r="J172" s="3"/>
    </row>
    <row r="173" spans="2:10">
      <c r="B173" s="3"/>
      <c r="C173" s="3"/>
      <c r="D173" s="3"/>
      <c r="E173" s="3"/>
      <c r="F173" s="3"/>
      <c r="G173" s="3"/>
      <c r="H173" s="3"/>
      <c r="I173" s="3"/>
      <c r="J173" s="3"/>
    </row>
    <row r="174" spans="2:10">
      <c r="B174" s="3"/>
      <c r="C174" s="3"/>
      <c r="D174" s="3"/>
      <c r="E174" s="3"/>
      <c r="F174" s="3"/>
      <c r="G174" s="3"/>
      <c r="H174" s="3"/>
      <c r="I174" s="3"/>
      <c r="J174" s="3"/>
    </row>
    <row r="175" spans="2:10">
      <c r="B175" s="3"/>
      <c r="C175" s="3"/>
      <c r="D175" s="3"/>
      <c r="E175" s="3"/>
      <c r="F175" s="3"/>
      <c r="G175" s="3"/>
      <c r="H175" s="3"/>
      <c r="I175" s="3"/>
      <c r="J175" s="3"/>
    </row>
    <row r="176" spans="2:10">
      <c r="B176" s="3"/>
      <c r="C176" s="3"/>
      <c r="D176" s="3"/>
      <c r="E176" s="3"/>
      <c r="F176" s="3"/>
      <c r="G176" s="3"/>
      <c r="H176" s="3"/>
      <c r="I176" s="3"/>
      <c r="J176" s="3"/>
    </row>
    <row r="177" spans="2:10">
      <c r="B177" s="3"/>
      <c r="C177" s="3"/>
      <c r="D177" s="3"/>
      <c r="E177" s="3"/>
      <c r="F177" s="3"/>
      <c r="G177" s="3"/>
      <c r="H177" s="3"/>
      <c r="I177" s="3"/>
      <c r="J177" s="3"/>
    </row>
    <row r="178" spans="2:10">
      <c r="B178" s="3"/>
      <c r="C178" s="3"/>
      <c r="D178" s="3"/>
      <c r="E178" s="3"/>
      <c r="F178" s="3"/>
      <c r="G178" s="3"/>
      <c r="H178" s="3"/>
      <c r="I178" s="3"/>
      <c r="J178" s="3"/>
    </row>
    <row r="179" spans="2:10">
      <c r="B179" s="3"/>
      <c r="C179" s="3"/>
      <c r="D179" s="3"/>
      <c r="E179" s="3"/>
      <c r="F179" s="3"/>
      <c r="G179" s="3"/>
      <c r="H179" s="3"/>
      <c r="I179" s="3"/>
      <c r="J179" s="3"/>
    </row>
    <row r="180" spans="2:10">
      <c r="B180" s="3"/>
      <c r="C180" s="3"/>
      <c r="D180" s="3"/>
      <c r="E180" s="3"/>
      <c r="F180" s="3"/>
      <c r="G180" s="3"/>
      <c r="H180" s="3"/>
      <c r="I180" s="3"/>
      <c r="J180" s="3"/>
    </row>
    <row r="181" spans="2:10">
      <c r="B181" s="3"/>
      <c r="C181" s="3"/>
      <c r="D181" s="3"/>
      <c r="E181" s="3"/>
      <c r="F181" s="3"/>
      <c r="G181" s="3"/>
      <c r="H181" s="3"/>
      <c r="I181" s="3"/>
      <c r="J181" s="3"/>
    </row>
    <row r="182" spans="2:10">
      <c r="B182" s="3"/>
      <c r="C182" s="3"/>
      <c r="D182" s="3"/>
      <c r="E182" s="3"/>
      <c r="F182" s="3"/>
      <c r="G182" s="3"/>
      <c r="H182" s="3"/>
      <c r="I182" s="3"/>
      <c r="J182" s="3"/>
    </row>
    <row r="183" spans="2:10">
      <c r="B183" s="3"/>
      <c r="C183" s="3"/>
      <c r="D183" s="3"/>
      <c r="E183" s="3"/>
      <c r="F183" s="3"/>
      <c r="G183" s="3"/>
      <c r="H183" s="3"/>
      <c r="I183" s="3"/>
      <c r="J183" s="3"/>
    </row>
    <row r="184" spans="2:10">
      <c r="B184" s="3"/>
      <c r="C184" s="3"/>
      <c r="D184" s="3"/>
      <c r="E184" s="3"/>
      <c r="F184" s="3"/>
      <c r="G184" s="3"/>
      <c r="H184" s="3"/>
      <c r="I184" s="3"/>
      <c r="J184" s="3"/>
    </row>
    <row r="185" spans="2:10">
      <c r="B185" s="3"/>
      <c r="C185" s="3"/>
      <c r="D185" s="3"/>
      <c r="E185" s="3"/>
      <c r="F185" s="3"/>
      <c r="G185" s="3"/>
      <c r="H185" s="3"/>
      <c r="I185" s="3"/>
      <c r="J185" s="3"/>
    </row>
    <row r="186" spans="2:10">
      <c r="B186" s="3"/>
      <c r="C186" s="3"/>
      <c r="D186" s="3"/>
      <c r="E186" s="3"/>
      <c r="F186" s="3"/>
      <c r="G186" s="3"/>
      <c r="H186" s="3"/>
      <c r="I186" s="3"/>
      <c r="J186" s="3"/>
    </row>
    <row r="187" spans="2:10">
      <c r="B187" s="3"/>
      <c r="C187" s="3"/>
      <c r="D187" s="3"/>
      <c r="E187" s="3"/>
      <c r="F187" s="3"/>
      <c r="G187" s="3"/>
      <c r="H187" s="3"/>
      <c r="I187" s="3"/>
      <c r="J187" s="3"/>
    </row>
    <row r="188" spans="2:10">
      <c r="B188" s="3"/>
      <c r="C188" s="3"/>
      <c r="D188" s="3"/>
      <c r="E188" s="3"/>
      <c r="F188" s="3"/>
      <c r="G188" s="3"/>
      <c r="H188" s="3"/>
      <c r="I188" s="3"/>
      <c r="J188" s="3"/>
    </row>
    <row r="189" spans="2:10" ht="14.25" customHeight="1">
      <c r="B189" s="3"/>
      <c r="C189" s="3"/>
      <c r="D189" s="3"/>
      <c r="E189" s="3"/>
      <c r="F189" s="3"/>
      <c r="G189" s="3"/>
      <c r="H189" s="3"/>
      <c r="I189" s="3"/>
      <c r="J189" s="3"/>
    </row>
    <row r="190" spans="2:10" ht="12.75" customHeight="1">
      <c r="B190" s="3"/>
      <c r="C190" s="3"/>
      <c r="D190" s="3"/>
      <c r="E190" s="3"/>
      <c r="F190" s="3"/>
      <c r="G190" s="3"/>
      <c r="H190" s="3"/>
      <c r="I190" s="3"/>
      <c r="J190" s="3"/>
    </row>
    <row r="191" spans="2:10" ht="12.75" customHeight="1">
      <c r="B191" s="3"/>
      <c r="C191" s="3"/>
      <c r="D191" s="3"/>
      <c r="E191" s="3"/>
      <c r="F191" s="3"/>
      <c r="G191" s="3"/>
      <c r="H191" s="3"/>
      <c r="I191" s="3"/>
      <c r="J191" s="3"/>
    </row>
    <row r="192" spans="2:10" ht="12.75" customHeight="1">
      <c r="B192" s="3"/>
      <c r="C192" s="3"/>
      <c r="D192" s="3"/>
      <c r="E192" s="3"/>
      <c r="F192" s="3"/>
      <c r="G192" s="3"/>
      <c r="H192" s="3"/>
      <c r="I192" s="3"/>
      <c r="J192" s="3"/>
    </row>
    <row r="193" spans="2:10" ht="12.75" customHeight="1">
      <c r="B193" s="3"/>
      <c r="C193" s="3"/>
      <c r="D193" s="3"/>
      <c r="E193" s="3"/>
      <c r="F193" s="3"/>
      <c r="G193" s="3"/>
      <c r="H193" s="3"/>
      <c r="I193" s="3"/>
      <c r="J193" s="3"/>
    </row>
    <row r="194" spans="2:10" ht="12.75" customHeight="1">
      <c r="B194" s="3"/>
      <c r="C194" s="3"/>
      <c r="D194" s="3"/>
      <c r="E194" s="3"/>
      <c r="F194" s="3"/>
      <c r="G194" s="3"/>
      <c r="H194" s="3"/>
      <c r="I194" s="3"/>
      <c r="J194" s="3"/>
    </row>
    <row r="195" spans="2:10" ht="12.75" customHeight="1">
      <c r="B195" s="3"/>
      <c r="C195" s="3"/>
      <c r="D195" s="3"/>
      <c r="E195" s="3"/>
      <c r="F195" s="3"/>
      <c r="G195" s="3"/>
      <c r="H195" s="3"/>
      <c r="I195" s="3"/>
      <c r="J195" s="3"/>
    </row>
    <row r="196" spans="2:10" ht="12.75" customHeight="1">
      <c r="B196" s="3"/>
      <c r="C196" s="3"/>
      <c r="D196" s="3"/>
      <c r="E196" s="3"/>
      <c r="F196" s="3"/>
      <c r="G196" s="3"/>
      <c r="H196" s="3"/>
      <c r="I196" s="3"/>
      <c r="J196" s="3"/>
    </row>
    <row r="197" spans="2:10" ht="12.75" customHeight="1">
      <c r="B197" s="3"/>
      <c r="C197" s="3"/>
      <c r="D197" s="3"/>
      <c r="E197" s="3"/>
      <c r="F197" s="3"/>
      <c r="G197" s="3"/>
      <c r="H197" s="3"/>
      <c r="I197" s="3"/>
      <c r="J197" s="3"/>
    </row>
    <row r="198" spans="2:10" ht="12.75" customHeight="1">
      <c r="B198" s="3"/>
      <c r="C198" s="3"/>
      <c r="D198" s="3"/>
      <c r="E198" s="3"/>
      <c r="F198" s="3"/>
      <c r="G198" s="3"/>
      <c r="H198" s="3"/>
      <c r="I198" s="3"/>
      <c r="J198" s="3"/>
    </row>
    <row r="199" spans="2:10" ht="12.75" customHeight="1">
      <c r="B199" s="3"/>
      <c r="C199" s="3"/>
      <c r="D199" s="3"/>
      <c r="E199" s="3"/>
      <c r="F199" s="3"/>
      <c r="G199" s="3"/>
      <c r="H199" s="3"/>
      <c r="I199" s="3"/>
      <c r="J199" s="3"/>
    </row>
    <row r="200" spans="2:10" ht="12.75" customHeight="1">
      <c r="B200" s="3"/>
      <c r="C200" s="3"/>
      <c r="D200" s="3"/>
      <c r="E200" s="3"/>
      <c r="F200" s="3"/>
      <c r="G200" s="3"/>
      <c r="H200" s="3"/>
      <c r="I200" s="3"/>
      <c r="J200" s="3"/>
    </row>
    <row r="201" spans="2:10" ht="12.75" customHeight="1">
      <c r="B201" s="3"/>
      <c r="C201" s="3"/>
      <c r="D201" s="3"/>
      <c r="E201" s="3"/>
      <c r="F201" s="3"/>
      <c r="G201" s="3"/>
      <c r="H201" s="3"/>
      <c r="I201" s="3"/>
      <c r="J201" s="3"/>
    </row>
    <row r="202" spans="2:10" ht="12.75" customHeight="1">
      <c r="B202" s="3"/>
      <c r="C202" s="3"/>
      <c r="D202" s="3"/>
      <c r="E202" s="3"/>
      <c r="F202" s="3"/>
      <c r="G202" s="3"/>
      <c r="H202" s="3"/>
      <c r="I202" s="3"/>
      <c r="J202" s="3"/>
    </row>
    <row r="203" spans="2:10" ht="12.75" customHeight="1">
      <c r="B203" s="3"/>
      <c r="C203" s="3"/>
      <c r="D203" s="3"/>
      <c r="E203" s="3"/>
      <c r="F203" s="3"/>
      <c r="G203" s="3"/>
      <c r="H203" s="3"/>
      <c r="I203" s="3"/>
      <c r="J203" s="3"/>
    </row>
    <row r="204" spans="2:10" ht="12.75" customHeight="1">
      <c r="B204" s="3"/>
      <c r="C204" s="3"/>
      <c r="D204" s="3"/>
      <c r="E204" s="3"/>
      <c r="F204" s="3"/>
      <c r="G204" s="3"/>
      <c r="H204" s="3"/>
      <c r="I204" s="3"/>
      <c r="J204" s="3"/>
    </row>
    <row r="205" spans="2:10">
      <c r="B205" s="3"/>
      <c r="C205" s="3"/>
      <c r="D205" s="3"/>
      <c r="E205" s="3"/>
      <c r="F205" s="3"/>
      <c r="G205" s="3"/>
      <c r="H205" s="3"/>
      <c r="I205" s="3"/>
      <c r="J205" s="3"/>
    </row>
    <row r="206" spans="2:10">
      <c r="B206" s="3"/>
      <c r="C206" s="3"/>
      <c r="D206" s="3"/>
      <c r="E206" s="3"/>
      <c r="F206" s="3"/>
      <c r="G206" s="3"/>
      <c r="H206" s="3"/>
      <c r="I206" s="3"/>
      <c r="J206" s="3"/>
    </row>
    <row r="207" spans="2:10">
      <c r="B207" s="3"/>
      <c r="C207" s="3"/>
      <c r="D207" s="3"/>
      <c r="E207" s="3"/>
      <c r="F207" s="3"/>
      <c r="G207" s="3"/>
      <c r="H207" s="3"/>
      <c r="I207" s="3"/>
      <c r="J207" s="3"/>
    </row>
    <row r="208" spans="2:10">
      <c r="B208" s="3"/>
      <c r="C208" s="3"/>
      <c r="D208" s="3"/>
      <c r="E208" s="3"/>
      <c r="F208" s="3"/>
      <c r="G208" s="3"/>
      <c r="H208" s="3"/>
      <c r="I208" s="3"/>
      <c r="J208" s="3"/>
    </row>
    <row r="209" spans="2:10">
      <c r="B209" s="3"/>
      <c r="C209" s="3"/>
      <c r="D209" s="3"/>
      <c r="E209" s="3"/>
      <c r="F209" s="3"/>
      <c r="G209" s="3"/>
      <c r="H209" s="3"/>
      <c r="I209" s="3"/>
      <c r="J209" s="3"/>
    </row>
    <row r="210" spans="2:10">
      <c r="B210" s="3"/>
      <c r="C210" s="3"/>
      <c r="D210" s="3"/>
      <c r="E210" s="3"/>
      <c r="F210" s="3"/>
      <c r="G210" s="3"/>
      <c r="H210" s="3"/>
      <c r="I210" s="3"/>
      <c r="J210" s="3"/>
    </row>
    <row r="211" spans="2:10">
      <c r="B211" s="3"/>
      <c r="C211" s="3"/>
      <c r="D211" s="3"/>
      <c r="E211" s="3"/>
      <c r="F211" s="3"/>
      <c r="G211" s="3"/>
      <c r="H211" s="3"/>
      <c r="I211" s="3"/>
      <c r="J211" s="3"/>
    </row>
    <row r="212" spans="2:10">
      <c r="B212" s="3"/>
      <c r="C212" s="3"/>
      <c r="D212" s="3"/>
      <c r="E212" s="3"/>
      <c r="F212" s="3"/>
      <c r="G212" s="3"/>
      <c r="H212" s="3"/>
      <c r="I212" s="3"/>
      <c r="J212" s="3"/>
    </row>
    <row r="213" spans="2:10">
      <c r="B213" s="3"/>
      <c r="C213" s="3"/>
      <c r="D213" s="3"/>
      <c r="E213" s="3"/>
      <c r="F213" s="3"/>
      <c r="G213" s="3"/>
      <c r="H213" s="3"/>
      <c r="I213" s="3"/>
      <c r="J213" s="3"/>
    </row>
    <row r="214" spans="2:10">
      <c r="B214" s="3"/>
      <c r="C214" s="3"/>
      <c r="D214" s="3"/>
      <c r="E214" s="3"/>
      <c r="F214" s="3"/>
      <c r="G214" s="3"/>
      <c r="H214" s="3"/>
      <c r="I214" s="3"/>
      <c r="J214" s="3"/>
    </row>
    <row r="215" spans="2:10">
      <c r="B215" s="3"/>
      <c r="C215" s="3"/>
      <c r="D215" s="3"/>
      <c r="E215" s="3"/>
      <c r="F215" s="3"/>
      <c r="G215" s="3"/>
      <c r="H215" s="3"/>
      <c r="I215" s="3"/>
      <c r="J215" s="3"/>
    </row>
    <row r="216" spans="2:10">
      <c r="B216" s="3"/>
      <c r="C216" s="3"/>
      <c r="D216" s="3"/>
      <c r="E216" s="3"/>
      <c r="F216" s="3"/>
      <c r="G216" s="3"/>
      <c r="H216" s="3"/>
      <c r="I216" s="3"/>
      <c r="J216" s="3"/>
    </row>
    <row r="217" spans="2:10">
      <c r="B217" s="3"/>
      <c r="C217" s="3"/>
      <c r="D217" s="3"/>
      <c r="E217" s="3"/>
      <c r="F217" s="3"/>
      <c r="G217" s="3"/>
      <c r="H217" s="3"/>
      <c r="I217" s="3"/>
      <c r="J217" s="3"/>
    </row>
    <row r="218" spans="2:10">
      <c r="B218" s="3"/>
      <c r="C218" s="3"/>
      <c r="D218" s="3"/>
      <c r="E218" s="3"/>
      <c r="F218" s="3"/>
      <c r="G218" s="3"/>
      <c r="H218" s="3"/>
      <c r="I218" s="3"/>
      <c r="J218" s="3"/>
    </row>
    <row r="219" spans="2:10">
      <c r="B219" s="3"/>
      <c r="C219" s="3"/>
      <c r="D219" s="3"/>
      <c r="E219" s="3"/>
      <c r="F219" s="3"/>
      <c r="G219" s="3"/>
      <c r="H219" s="3"/>
      <c r="I219" s="3"/>
      <c r="J219" s="3"/>
    </row>
    <row r="220" spans="2:10">
      <c r="B220" s="3"/>
      <c r="C220" s="3"/>
      <c r="D220" s="3"/>
      <c r="E220" s="3"/>
      <c r="F220" s="3"/>
      <c r="G220" s="3"/>
      <c r="H220" s="3"/>
      <c r="I220" s="3"/>
      <c r="J220" s="3"/>
    </row>
    <row r="221" spans="2:10">
      <c r="B221" s="3"/>
      <c r="C221" s="3"/>
      <c r="D221" s="3"/>
      <c r="E221" s="3"/>
      <c r="F221" s="3"/>
      <c r="G221" s="3"/>
      <c r="H221" s="3"/>
      <c r="I221" s="3"/>
      <c r="J221" s="3"/>
    </row>
    <row r="222" spans="2:10">
      <c r="B222" s="3"/>
      <c r="C222" s="3"/>
      <c r="D222" s="3"/>
      <c r="E222" s="3"/>
      <c r="F222" s="3"/>
      <c r="G222" s="3"/>
      <c r="H222" s="3"/>
      <c r="I222" s="3"/>
      <c r="J222" s="3"/>
    </row>
  </sheetData>
  <mergeCells count="7">
    <mergeCell ref="A3:I3"/>
    <mergeCell ref="A4:I4"/>
    <mergeCell ref="A5:I5"/>
    <mergeCell ref="E10:E11"/>
    <mergeCell ref="A6:I6"/>
    <mergeCell ref="G10:G11"/>
    <mergeCell ref="I10:I11"/>
  </mergeCells>
  <phoneticPr fontId="0" type="noConversion"/>
  <pageMargins left="0.26" right="1.28" top="1" bottom="1" header="0.75" footer="0.5"/>
  <pageSetup scale="55" orientation="portrait" r:id="rId1"/>
  <headerFooter alignWithMargins="0">
    <oddHeader>&amp;R&amp;"Arial,Bold"Formula Rate
 &amp;A
Page &amp;P of &amp;N</oddHeader>
  </headerFooter>
  <rowBreaks count="1" manualBreakCount="1">
    <brk id="61"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S197"/>
  <sheetViews>
    <sheetView view="pageBreakPreview" zoomScale="60" zoomScaleNormal="50" workbookViewId="0">
      <selection activeCell="G129" sqref="G129"/>
    </sheetView>
  </sheetViews>
  <sheetFormatPr defaultRowHeight="12.75"/>
  <cols>
    <col min="1" max="1" width="6.85546875" style="708" customWidth="1"/>
    <col min="2" max="2" width="57.7109375" style="707" bestFit="1" customWidth="1"/>
    <col min="3" max="4" width="14.85546875" style="707" customWidth="1"/>
    <col min="5" max="6" width="14.28515625" style="707" customWidth="1"/>
    <col min="7" max="7" width="15.28515625" style="707" bestFit="1" customWidth="1"/>
    <col min="8" max="8" width="9.140625" style="707"/>
    <col min="9" max="9" width="13.140625" style="707" bestFit="1" customWidth="1"/>
    <col min="10" max="10" width="15" style="707" bestFit="1" customWidth="1"/>
    <col min="11" max="11" width="13.5703125" style="707" bestFit="1" customWidth="1"/>
    <col min="12" max="12" width="9.140625" style="707"/>
    <col min="13" max="13" width="13.140625" style="707" bestFit="1" customWidth="1"/>
    <col min="14" max="14" width="15" style="707" bestFit="1" customWidth="1"/>
    <col min="15" max="15" width="13.5703125" style="707" bestFit="1" customWidth="1"/>
    <col min="16" max="16" width="9.140625" style="707"/>
    <col min="17" max="17" width="13.140625" style="707" bestFit="1" customWidth="1"/>
    <col min="18" max="18" width="15" style="707" bestFit="1" customWidth="1"/>
    <col min="19" max="19" width="13.5703125" style="707" bestFit="1" customWidth="1"/>
    <col min="20" max="16384" width="9.140625" style="707"/>
  </cols>
  <sheetData>
    <row r="1" spans="1:19">
      <c r="A1" s="723"/>
      <c r="B1" s="739" t="str">
        <f>TCOS!F9</f>
        <v>AEP Kentucky Transmission Company</v>
      </c>
      <c r="C1" s="711"/>
      <c r="D1" s="711"/>
      <c r="E1" s="711"/>
      <c r="F1" s="711"/>
      <c r="M1" s="711"/>
      <c r="N1" s="711"/>
      <c r="O1" s="711"/>
      <c r="P1" s="711"/>
      <c r="Q1" s="711"/>
      <c r="R1" s="711"/>
    </row>
    <row r="2" spans="1:19">
      <c r="A2" s="723"/>
      <c r="B2" s="710" t="s">
        <v>645</v>
      </c>
      <c r="C2" s="711"/>
      <c r="D2" s="711"/>
      <c r="E2" s="711"/>
      <c r="F2" s="711"/>
      <c r="M2" s="711"/>
      <c r="N2" s="711"/>
      <c r="O2" s="711"/>
      <c r="P2" s="711"/>
      <c r="Q2" s="711"/>
      <c r="R2" s="711"/>
    </row>
    <row r="3" spans="1:19">
      <c r="A3" s="723"/>
      <c r="B3" s="732" t="str">
        <f>"PERIOD ENDED DECEMBER 31, "&amp;TCOS!L4</f>
        <v>PERIOD ENDED DECEMBER 31, 2026</v>
      </c>
      <c r="C3" s="711"/>
      <c r="D3" s="711"/>
      <c r="E3" s="711"/>
      <c r="F3" s="711"/>
      <c r="G3" s="711"/>
      <c r="H3" s="711"/>
      <c r="I3" s="711"/>
      <c r="J3" s="711"/>
      <c r="K3" s="711"/>
      <c r="L3" s="711"/>
      <c r="M3" s="711"/>
      <c r="N3" s="711"/>
      <c r="O3" s="711"/>
      <c r="P3" s="711"/>
      <c r="Q3" s="711"/>
      <c r="R3" s="711"/>
      <c r="S3" s="711"/>
    </row>
    <row r="4" spans="1:19">
      <c r="A4" s="723"/>
      <c r="B4" s="711"/>
      <c r="C4" s="711"/>
      <c r="D4" s="711"/>
      <c r="E4" s="711"/>
      <c r="F4" s="711"/>
      <c r="G4" s="708" t="s">
        <v>646</v>
      </c>
      <c r="H4" s="708"/>
      <c r="I4" s="708"/>
      <c r="J4" s="708"/>
      <c r="K4" s="708"/>
      <c r="L4" s="708"/>
      <c r="M4" s="711"/>
      <c r="N4" s="711"/>
      <c r="O4" s="711"/>
      <c r="P4" s="711"/>
      <c r="Q4" s="711"/>
      <c r="R4" s="711"/>
      <c r="S4" s="711"/>
    </row>
    <row r="5" spans="1:19">
      <c r="A5" s="723"/>
      <c r="B5" s="711"/>
      <c r="C5" s="711"/>
      <c r="D5" s="711"/>
      <c r="E5" s="711"/>
      <c r="F5" s="711"/>
      <c r="G5" s="711"/>
      <c r="H5" s="711"/>
      <c r="I5" s="711"/>
      <c r="J5" s="711"/>
      <c r="K5" s="711"/>
      <c r="L5" s="711"/>
      <c r="M5" s="711"/>
      <c r="N5" s="711"/>
      <c r="O5" s="711"/>
      <c r="P5" s="711"/>
      <c r="Q5" s="711"/>
      <c r="R5" s="711"/>
      <c r="S5" s="711"/>
    </row>
    <row r="6" spans="1:19">
      <c r="A6" s="723"/>
      <c r="B6" s="711"/>
      <c r="C6" s="711"/>
      <c r="D6" s="711"/>
      <c r="E6" s="711"/>
      <c r="F6" s="711"/>
      <c r="G6" s="711"/>
      <c r="H6" s="711"/>
      <c r="I6" s="711"/>
      <c r="J6" s="711"/>
      <c r="K6" s="711"/>
      <c r="L6" s="711"/>
      <c r="M6" s="711"/>
      <c r="N6" s="711"/>
      <c r="O6" s="711"/>
      <c r="P6" s="711"/>
      <c r="Q6" s="711"/>
      <c r="R6" s="711"/>
      <c r="S6" s="711"/>
    </row>
    <row r="7" spans="1:19">
      <c r="A7" s="723"/>
      <c r="B7" s="711"/>
      <c r="C7" s="711"/>
      <c r="D7" s="711"/>
      <c r="E7" s="711"/>
      <c r="F7" s="711"/>
      <c r="G7" s="711"/>
      <c r="H7" s="711"/>
      <c r="I7" s="711"/>
      <c r="J7" s="711"/>
      <c r="K7" s="711"/>
      <c r="L7" s="711"/>
      <c r="M7" s="711"/>
      <c r="N7" s="711"/>
      <c r="O7" s="711"/>
      <c r="P7" s="711"/>
      <c r="Q7" s="711"/>
      <c r="R7" s="711"/>
      <c r="S7" s="711"/>
    </row>
    <row r="8" spans="1:19">
      <c r="A8" s="723"/>
      <c r="B8" s="712" t="s">
        <v>647</v>
      </c>
      <c r="C8" s="712" t="s">
        <v>648</v>
      </c>
      <c r="D8" s="712" t="s">
        <v>649</v>
      </c>
      <c r="E8" s="712" t="s">
        <v>650</v>
      </c>
      <c r="F8" s="712" t="s">
        <v>651</v>
      </c>
      <c r="G8" s="712" t="s">
        <v>652</v>
      </c>
      <c r="H8" s="712"/>
      <c r="I8" s="712" t="s">
        <v>653</v>
      </c>
      <c r="J8" s="712" t="s">
        <v>654</v>
      </c>
      <c r="K8" s="712" t="s">
        <v>655</v>
      </c>
      <c r="L8" s="712"/>
      <c r="M8" s="712" t="s">
        <v>656</v>
      </c>
      <c r="N8" s="712" t="s">
        <v>657</v>
      </c>
      <c r="O8" s="712" t="s">
        <v>658</v>
      </c>
      <c r="P8" s="711"/>
      <c r="Q8" s="712" t="s">
        <v>659</v>
      </c>
      <c r="R8" s="712" t="s">
        <v>660</v>
      </c>
      <c r="S8" s="712" t="s">
        <v>661</v>
      </c>
    </row>
    <row r="9" spans="1:19">
      <c r="A9" s="723"/>
      <c r="B9" s="711"/>
      <c r="C9" s="711"/>
      <c r="D9" s="711"/>
      <c r="E9" s="711"/>
      <c r="F9" s="711"/>
      <c r="G9" s="711"/>
      <c r="H9" s="711"/>
      <c r="I9" s="711"/>
      <c r="J9" s="711"/>
      <c r="K9" s="711"/>
      <c r="L9" s="711"/>
      <c r="M9" s="711"/>
      <c r="N9" s="711"/>
      <c r="O9" s="711"/>
      <c r="P9" s="711"/>
      <c r="Q9" s="711"/>
      <c r="R9" s="711"/>
      <c r="S9" s="711"/>
    </row>
    <row r="10" spans="1:19">
      <c r="A10" s="723"/>
      <c r="B10" s="711"/>
      <c r="C10" s="713" t="s">
        <v>662</v>
      </c>
      <c r="D10" s="713"/>
      <c r="E10" s="714" t="s">
        <v>663</v>
      </c>
      <c r="F10" s="713"/>
      <c r="G10" s="708" t="s">
        <v>664</v>
      </c>
      <c r="H10" s="708"/>
      <c r="I10" s="713" t="s">
        <v>665</v>
      </c>
      <c r="J10" s="713"/>
      <c r="K10" s="713"/>
      <c r="L10" s="708"/>
      <c r="M10" s="713" t="str">
        <f>"FUNCTIONALIZATION 12/31/"&amp;TCOS!L4-1</f>
        <v>FUNCTIONALIZATION 12/31/2025</v>
      </c>
      <c r="N10" s="713"/>
      <c r="O10" s="713"/>
      <c r="P10" s="711"/>
      <c r="Q10" s="713" t="str">
        <f>"FUNCTIONALIZATION 12/31/"&amp;TCOS!L4</f>
        <v>FUNCTIONALIZATION 12/31/2026</v>
      </c>
      <c r="R10" s="713"/>
      <c r="S10" s="713"/>
    </row>
    <row r="11" spans="1:19">
      <c r="A11" s="723"/>
      <c r="B11" s="711"/>
      <c r="C11" s="715"/>
      <c r="D11" s="715"/>
      <c r="E11" s="711"/>
      <c r="F11" s="711"/>
      <c r="G11" s="708" t="s">
        <v>666</v>
      </c>
      <c r="H11" s="708"/>
      <c r="I11" s="715"/>
      <c r="J11" s="715"/>
      <c r="K11" s="715"/>
      <c r="L11" s="708"/>
      <c r="M11" s="715"/>
      <c r="N11" s="715"/>
      <c r="O11" s="715"/>
      <c r="P11" s="711"/>
      <c r="Q11" s="715"/>
      <c r="R11" s="715"/>
      <c r="S11" s="715"/>
    </row>
    <row r="12" spans="1:19" s="734" customFormat="1">
      <c r="A12" s="735"/>
      <c r="B12" s="733"/>
      <c r="C12" s="736" t="s">
        <v>667</v>
      </c>
      <c r="D12" s="736" t="s">
        <v>667</v>
      </c>
      <c r="E12" s="736" t="s">
        <v>667</v>
      </c>
      <c r="F12" s="736" t="s">
        <v>667</v>
      </c>
      <c r="G12" s="736" t="s">
        <v>668</v>
      </c>
      <c r="H12" s="736"/>
      <c r="I12" s="733"/>
      <c r="J12" s="733"/>
      <c r="K12" s="733"/>
      <c r="L12" s="736"/>
      <c r="M12" s="733"/>
      <c r="N12" s="733"/>
      <c r="O12" s="733"/>
      <c r="P12" s="733"/>
      <c r="Q12" s="733"/>
      <c r="R12" s="733"/>
      <c r="S12" s="733"/>
    </row>
    <row r="13" spans="1:19" s="734" customFormat="1">
      <c r="A13" s="735"/>
      <c r="B13" s="737" t="s">
        <v>669</v>
      </c>
      <c r="C13" s="737" t="str">
        <f>"OF 12-31-"&amp;TCOS!L4-1</f>
        <v>OF 12-31-2025</v>
      </c>
      <c r="D13" s="737" t="str">
        <f>"OF 12-31-"&amp;TCOS!L4</f>
        <v>OF 12-31-2026</v>
      </c>
      <c r="E13" s="737" t="str">
        <f>"OF 12-31-"&amp;TCOS!L4-1</f>
        <v>OF 12-31-2025</v>
      </c>
      <c r="F13" s="737" t="str">
        <f>"OF 12-31-"&amp;TCOS!L4</f>
        <v>OF 12-31-2026</v>
      </c>
      <c r="G13" s="737" t="s">
        <v>670</v>
      </c>
      <c r="H13" s="737"/>
      <c r="I13" s="737" t="s">
        <v>671</v>
      </c>
      <c r="J13" s="737" t="s">
        <v>672</v>
      </c>
      <c r="K13" s="737" t="s">
        <v>673</v>
      </c>
      <c r="L13" s="737"/>
      <c r="M13" s="737" t="s">
        <v>671</v>
      </c>
      <c r="N13" s="737" t="s">
        <v>672</v>
      </c>
      <c r="O13" s="737" t="s">
        <v>673</v>
      </c>
      <c r="P13" s="733"/>
      <c r="Q13" s="737" t="s">
        <v>671</v>
      </c>
      <c r="R13" s="737" t="s">
        <v>672</v>
      </c>
      <c r="S13" s="737" t="s">
        <v>673</v>
      </c>
    </row>
    <row r="14" spans="1:19">
      <c r="A14" s="723"/>
      <c r="B14" s="711"/>
      <c r="C14" s="711"/>
      <c r="D14" s="711"/>
      <c r="E14" s="711"/>
      <c r="F14" s="711"/>
      <c r="G14" s="711"/>
      <c r="H14" s="711"/>
      <c r="I14" s="711"/>
      <c r="J14" s="711"/>
      <c r="K14" s="711"/>
      <c r="L14" s="711"/>
      <c r="M14" s="711"/>
      <c r="N14" s="711"/>
      <c r="O14" s="711"/>
      <c r="P14" s="711"/>
      <c r="Q14" s="711"/>
      <c r="R14" s="711"/>
      <c r="S14" s="711"/>
    </row>
    <row r="15" spans="1:19">
      <c r="A15" s="731">
        <v>1</v>
      </c>
      <c r="B15" s="709" t="s">
        <v>674</v>
      </c>
      <c r="C15" s="717"/>
      <c r="D15" s="717"/>
      <c r="E15" s="717"/>
      <c r="F15" s="718"/>
      <c r="G15" s="717"/>
      <c r="H15" s="717"/>
      <c r="I15" s="717"/>
      <c r="J15" s="717"/>
      <c r="K15" s="717"/>
      <c r="L15" s="717"/>
      <c r="M15" s="717"/>
      <c r="N15" s="717"/>
      <c r="O15" s="717"/>
      <c r="P15" s="717"/>
      <c r="Q15" s="717"/>
      <c r="R15" s="717"/>
      <c r="S15" s="717"/>
    </row>
    <row r="16" spans="1:19">
      <c r="A16" s="731">
        <v>2.0099999999999998</v>
      </c>
      <c r="B16" s="709"/>
      <c r="C16" s="717"/>
      <c r="D16" s="717"/>
      <c r="E16" s="717"/>
      <c r="F16" s="717"/>
      <c r="G16" s="717"/>
      <c r="H16" s="717"/>
      <c r="I16" s="717"/>
      <c r="J16" s="717"/>
      <c r="K16" s="717"/>
      <c r="L16" s="717"/>
      <c r="M16" s="717"/>
      <c r="N16" s="717"/>
      <c r="O16" s="717"/>
      <c r="P16" s="717"/>
      <c r="Q16" s="717"/>
      <c r="R16" s="717"/>
      <c r="S16" s="717"/>
    </row>
    <row r="17" spans="1:19">
      <c r="A17" s="731">
        <v>2.02</v>
      </c>
      <c r="B17" s="709"/>
      <c r="C17" s="717">
        <f>SUM(M17:O17)</f>
        <v>0</v>
      </c>
      <c r="D17" s="717">
        <f>SUM(Q17:S17)</f>
        <v>0</v>
      </c>
      <c r="E17" s="717"/>
      <c r="F17" s="717"/>
      <c r="G17" s="717">
        <f>ROUND(SUM(C17:F17)/2,0)</f>
        <v>0</v>
      </c>
      <c r="H17" s="717"/>
      <c r="I17" s="717">
        <f>(M17+Q17)/2</f>
        <v>0</v>
      </c>
      <c r="J17" s="717">
        <f>(N17+R17)/2</f>
        <v>0</v>
      </c>
      <c r="K17" s="717">
        <f>(O17+S17)/2</f>
        <v>0</v>
      </c>
      <c r="L17" s="717"/>
      <c r="M17" s="709"/>
      <c r="N17" s="709"/>
      <c r="O17" s="709"/>
      <c r="P17" s="717"/>
      <c r="Q17" s="709"/>
      <c r="R17" s="709"/>
      <c r="S17" s="709"/>
    </row>
    <row r="18" spans="1:19">
      <c r="A18" s="731">
        <v>2.0299999999999998</v>
      </c>
      <c r="B18" s="709"/>
      <c r="C18" s="717"/>
      <c r="D18" s="717"/>
      <c r="E18" s="717"/>
      <c r="F18" s="717"/>
      <c r="G18" s="717"/>
      <c r="H18" s="717"/>
      <c r="I18" s="717"/>
      <c r="J18" s="717"/>
      <c r="K18" s="717"/>
      <c r="L18" s="717"/>
      <c r="M18" s="717"/>
      <c r="N18" s="717"/>
      <c r="O18" s="717"/>
      <c r="P18" s="717"/>
      <c r="Q18" s="717"/>
      <c r="R18" s="717"/>
      <c r="S18" s="717"/>
    </row>
    <row r="19" spans="1:19">
      <c r="A19" s="731">
        <v>2.04</v>
      </c>
      <c r="B19" s="709"/>
      <c r="C19" s="717">
        <v>0</v>
      </c>
      <c r="D19" s="717">
        <v>0</v>
      </c>
      <c r="E19" s="717">
        <f t="shared" ref="E19:F21" si="0">-C19</f>
        <v>0</v>
      </c>
      <c r="F19" s="717">
        <f t="shared" si="0"/>
        <v>0</v>
      </c>
      <c r="G19" s="717">
        <f>ROUND(SUM(C19:F19)/2,0)</f>
        <v>0</v>
      </c>
      <c r="H19" s="717"/>
      <c r="I19" s="717"/>
      <c r="J19" s="717"/>
      <c r="K19" s="717"/>
      <c r="L19" s="717"/>
      <c r="M19" s="717"/>
      <c r="N19" s="717"/>
      <c r="O19" s="717"/>
      <c r="P19" s="717"/>
      <c r="Q19" s="717"/>
      <c r="R19" s="717"/>
      <c r="S19" s="717"/>
    </row>
    <row r="20" spans="1:19">
      <c r="A20" s="731">
        <v>2.0499999999999998</v>
      </c>
      <c r="B20" s="709"/>
      <c r="C20" s="717">
        <v>0</v>
      </c>
      <c r="D20" s="717">
        <v>0</v>
      </c>
      <c r="E20" s="717">
        <f t="shared" si="0"/>
        <v>0</v>
      </c>
      <c r="F20" s="717">
        <f t="shared" si="0"/>
        <v>0</v>
      </c>
      <c r="G20" s="717">
        <f>ROUND(SUM(C20:F20)/2,0)</f>
        <v>0</v>
      </c>
      <c r="H20" s="717"/>
      <c r="I20" s="717"/>
      <c r="J20" s="717"/>
      <c r="K20" s="717"/>
      <c r="L20" s="717"/>
      <c r="M20" s="717"/>
      <c r="N20" s="717"/>
      <c r="O20" s="717"/>
      <c r="P20" s="717"/>
      <c r="Q20" s="717"/>
      <c r="R20" s="717"/>
      <c r="S20" s="717"/>
    </row>
    <row r="21" spans="1:19">
      <c r="A21" s="731">
        <v>2.06</v>
      </c>
      <c r="B21" s="709"/>
      <c r="C21" s="717">
        <v>0</v>
      </c>
      <c r="D21" s="717">
        <v>0</v>
      </c>
      <c r="E21" s="717">
        <f t="shared" si="0"/>
        <v>0</v>
      </c>
      <c r="F21" s="717">
        <f t="shared" si="0"/>
        <v>0</v>
      </c>
      <c r="G21" s="717">
        <f>ROUND(SUM(C21:F21)/2,0)</f>
        <v>0</v>
      </c>
      <c r="H21" s="717"/>
      <c r="I21" s="717"/>
      <c r="J21" s="717"/>
      <c r="K21" s="717"/>
      <c r="L21" s="717"/>
      <c r="M21" s="717"/>
      <c r="N21" s="717"/>
      <c r="O21" s="717"/>
      <c r="P21" s="717"/>
      <c r="Q21" s="717"/>
      <c r="R21" s="717"/>
      <c r="S21" s="717"/>
    </row>
    <row r="22" spans="1:19">
      <c r="A22" s="724"/>
      <c r="B22" s="711"/>
      <c r="C22" s="717"/>
      <c r="D22" s="717"/>
      <c r="E22" s="717"/>
      <c r="F22" s="717"/>
      <c r="G22" s="717"/>
      <c r="H22" s="717"/>
      <c r="I22" s="717"/>
      <c r="J22" s="717"/>
      <c r="K22" s="717"/>
      <c r="L22" s="717"/>
      <c r="M22" s="717"/>
      <c r="N22" s="717"/>
      <c r="O22" s="717"/>
      <c r="P22" s="717"/>
      <c r="Q22" s="717"/>
      <c r="R22" s="717"/>
      <c r="S22" s="717"/>
    </row>
    <row r="23" spans="1:19" ht="13.5" thickBot="1">
      <c r="A23" s="724">
        <v>3</v>
      </c>
      <c r="B23" s="707" t="s">
        <v>675</v>
      </c>
      <c r="C23" s="719">
        <f>SUM(C17:C22)</f>
        <v>0</v>
      </c>
      <c r="D23" s="719">
        <f>SUM(D17:D22)</f>
        <v>0</v>
      </c>
      <c r="E23" s="719">
        <f>SUM(E17:E22)</f>
        <v>0</v>
      </c>
      <c r="F23" s="719">
        <f>SUM(F17:F22)</f>
        <v>0</v>
      </c>
      <c r="G23" s="719">
        <f>SUM(G17:G22)</f>
        <v>0</v>
      </c>
      <c r="H23" s="717"/>
      <c r="I23" s="719">
        <f>SUM(I17:I22)</f>
        <v>0</v>
      </c>
      <c r="J23" s="719">
        <f>SUM(J17:J22)</f>
        <v>0</v>
      </c>
      <c r="K23" s="719">
        <f>SUM(K17:K22)</f>
        <v>0</v>
      </c>
      <c r="L23" s="717"/>
      <c r="M23" s="719">
        <f>SUM(M17:M22)</f>
        <v>0</v>
      </c>
      <c r="N23" s="719">
        <f>SUM(N17:N22)</f>
        <v>0</v>
      </c>
      <c r="O23" s="719">
        <f>SUM(O17:O22)</f>
        <v>0</v>
      </c>
      <c r="P23" s="717"/>
      <c r="Q23" s="719">
        <f>SUM(Q17:Q22)</f>
        <v>0</v>
      </c>
      <c r="R23" s="719">
        <f>SUM(R17:R22)</f>
        <v>0</v>
      </c>
      <c r="S23" s="719">
        <f>SUM(S17:S22)</f>
        <v>0</v>
      </c>
    </row>
    <row r="24" spans="1:19" ht="13.5" thickTop="1">
      <c r="A24" s="724">
        <f>A23+1</f>
        <v>4</v>
      </c>
      <c r="B24" s="711" t="s">
        <v>676</v>
      </c>
      <c r="C24" s="728">
        <v>0</v>
      </c>
      <c r="D24" s="728">
        <v>0</v>
      </c>
      <c r="E24" s="728">
        <v>0</v>
      </c>
      <c r="F24" s="728">
        <v>0</v>
      </c>
      <c r="G24" s="728">
        <v>0</v>
      </c>
      <c r="H24" s="729"/>
      <c r="I24" s="728">
        <v>0</v>
      </c>
      <c r="J24" s="728">
        <v>0</v>
      </c>
      <c r="K24" s="728">
        <v>0</v>
      </c>
      <c r="L24" s="729"/>
      <c r="M24" s="728">
        <v>0</v>
      </c>
      <c r="N24" s="728">
        <v>0</v>
      </c>
      <c r="O24" s="728">
        <v>0</v>
      </c>
      <c r="P24" s="729"/>
      <c r="Q24" s="728">
        <v>0</v>
      </c>
      <c r="R24" s="728">
        <v>0</v>
      </c>
      <c r="S24" s="728">
        <v>0</v>
      </c>
    </row>
    <row r="25" spans="1:19">
      <c r="A25" s="724"/>
      <c r="B25" s="711"/>
      <c r="C25" s="717"/>
      <c r="D25" s="717"/>
      <c r="E25" s="717"/>
      <c r="F25" s="717"/>
      <c r="G25" s="717"/>
      <c r="H25" s="717"/>
      <c r="I25" s="717"/>
      <c r="J25" s="717"/>
      <c r="K25" s="717"/>
      <c r="L25" s="717"/>
      <c r="M25" s="717"/>
      <c r="N25" s="717"/>
      <c r="O25" s="717"/>
      <c r="P25" s="717"/>
      <c r="Q25" s="717"/>
      <c r="R25" s="717"/>
      <c r="S25" s="717"/>
    </row>
    <row r="26" spans="1:19">
      <c r="A26" s="724">
        <v>5</v>
      </c>
      <c r="B26" s="707" t="s">
        <v>677</v>
      </c>
      <c r="C26" s="717"/>
      <c r="D26" s="717"/>
      <c r="E26" s="717"/>
      <c r="F26" s="717"/>
      <c r="G26" s="717"/>
      <c r="H26" s="717"/>
      <c r="I26" s="717"/>
      <c r="J26" s="717"/>
      <c r="K26" s="717"/>
      <c r="L26" s="717"/>
      <c r="M26" s="717"/>
      <c r="N26" s="717"/>
      <c r="O26" s="717"/>
      <c r="P26" s="717"/>
      <c r="Q26" s="717"/>
      <c r="R26" s="717"/>
      <c r="S26" s="717"/>
    </row>
    <row r="27" spans="1:19">
      <c r="A27" s="730"/>
      <c r="B27" s="711"/>
      <c r="C27" s="717"/>
      <c r="D27" s="717"/>
      <c r="E27" s="717"/>
      <c r="F27" s="717"/>
      <c r="G27" s="717"/>
      <c r="H27" s="717"/>
      <c r="I27" s="717"/>
      <c r="J27" s="717"/>
      <c r="K27" s="717"/>
      <c r="L27" s="717"/>
      <c r="M27" s="717"/>
      <c r="N27" s="717"/>
      <c r="O27" s="717"/>
      <c r="P27" s="717"/>
      <c r="Q27" s="717"/>
      <c r="R27" s="717"/>
      <c r="S27" s="717"/>
    </row>
    <row r="28" spans="1:19">
      <c r="A28" s="731">
        <v>5.01</v>
      </c>
      <c r="B28" s="709"/>
      <c r="C28" s="717">
        <f t="shared" ref="C28:C64" si="1">SUM(M28:O28)</f>
        <v>0</v>
      </c>
      <c r="D28" s="717">
        <f t="shared" ref="D28:D64" si="2">SUM(Q28:S28)</f>
        <v>0</v>
      </c>
      <c r="E28" s="717"/>
      <c r="F28" s="717"/>
      <c r="G28" s="717">
        <f t="shared" ref="G28:G50" si="3">ROUND(SUM(C28:F28)/2,0)</f>
        <v>0</v>
      </c>
      <c r="H28" s="717"/>
      <c r="I28" s="717">
        <f t="shared" ref="I28:K65" si="4">(M28+Q28)/2</f>
        <v>0</v>
      </c>
      <c r="J28" s="717">
        <f t="shared" si="4"/>
        <v>0</v>
      </c>
      <c r="K28" s="717">
        <f t="shared" si="4"/>
        <v>0</v>
      </c>
      <c r="L28" s="717"/>
      <c r="M28" s="709"/>
      <c r="N28" s="709"/>
      <c r="O28" s="709"/>
      <c r="P28" s="717"/>
      <c r="Q28" s="709"/>
      <c r="R28" s="709"/>
      <c r="S28" s="709"/>
    </row>
    <row r="29" spans="1:19">
      <c r="A29" s="731">
        <f>A28+0.01</f>
        <v>5.0199999999999996</v>
      </c>
      <c r="B29" s="709"/>
      <c r="C29" s="717">
        <f>SUM(M29:O29)</f>
        <v>0</v>
      </c>
      <c r="D29" s="717">
        <f>SUM(Q29:S29)</f>
        <v>0</v>
      </c>
      <c r="E29" s="717"/>
      <c r="F29" s="717"/>
      <c r="G29" s="717">
        <f t="shared" si="3"/>
        <v>0</v>
      </c>
      <c r="H29" s="717"/>
      <c r="I29" s="717">
        <f t="shared" si="4"/>
        <v>0</v>
      </c>
      <c r="J29" s="717">
        <f t="shared" si="4"/>
        <v>0</v>
      </c>
      <c r="K29" s="717">
        <f t="shared" si="4"/>
        <v>0</v>
      </c>
      <c r="L29" s="717"/>
      <c r="M29" s="709"/>
      <c r="N29" s="709"/>
      <c r="O29" s="709"/>
      <c r="P29" s="717"/>
      <c r="Q29" s="709"/>
      <c r="R29" s="709"/>
      <c r="S29" s="709"/>
    </row>
    <row r="30" spans="1:19">
      <c r="A30" s="731">
        <f t="shared" ref="A30:A68" si="5">A29+0.01</f>
        <v>5.0299999999999994</v>
      </c>
      <c r="B30" s="709"/>
      <c r="C30" s="717">
        <f t="shared" si="1"/>
        <v>0</v>
      </c>
      <c r="D30" s="717">
        <f t="shared" si="2"/>
        <v>0</v>
      </c>
      <c r="E30" s="717"/>
      <c r="F30" s="717"/>
      <c r="G30" s="717">
        <f t="shared" si="3"/>
        <v>0</v>
      </c>
      <c r="H30" s="717"/>
      <c r="I30" s="717">
        <f t="shared" si="4"/>
        <v>0</v>
      </c>
      <c r="J30" s="717">
        <f t="shared" si="4"/>
        <v>0</v>
      </c>
      <c r="K30" s="717">
        <f t="shared" si="4"/>
        <v>0</v>
      </c>
      <c r="L30" s="717"/>
      <c r="M30" s="738"/>
      <c r="N30" s="738"/>
      <c r="O30" s="709"/>
      <c r="P30" s="717"/>
      <c r="Q30" s="738"/>
      <c r="R30" s="738"/>
      <c r="S30" s="709"/>
    </row>
    <row r="31" spans="1:19">
      <c r="A31" s="731">
        <f t="shared" si="5"/>
        <v>5.0399999999999991</v>
      </c>
      <c r="B31" s="709"/>
      <c r="C31" s="717">
        <f>SUM(M31:O31)</f>
        <v>0</v>
      </c>
      <c r="D31" s="717">
        <f>SUM(Q31:S31)</f>
        <v>0</v>
      </c>
      <c r="E31" s="717"/>
      <c r="F31" s="717"/>
      <c r="G31" s="717">
        <f t="shared" si="3"/>
        <v>0</v>
      </c>
      <c r="H31" s="717"/>
      <c r="I31" s="717">
        <f t="shared" si="4"/>
        <v>0</v>
      </c>
      <c r="J31" s="717">
        <f t="shared" si="4"/>
        <v>0</v>
      </c>
      <c r="K31" s="717">
        <f t="shared" si="4"/>
        <v>0</v>
      </c>
      <c r="L31" s="717"/>
      <c r="M31" s="709"/>
      <c r="N31" s="709"/>
      <c r="O31" s="709"/>
      <c r="P31" s="717"/>
      <c r="Q31" s="709"/>
      <c r="R31" s="709"/>
      <c r="S31" s="709"/>
    </row>
    <row r="32" spans="1:19">
      <c r="A32" s="731">
        <f t="shared" si="5"/>
        <v>5.0499999999999989</v>
      </c>
      <c r="B32" s="709"/>
      <c r="C32" s="717">
        <f t="shared" si="1"/>
        <v>0</v>
      </c>
      <c r="D32" s="717">
        <f t="shared" si="2"/>
        <v>0</v>
      </c>
      <c r="E32" s="717"/>
      <c r="F32" s="717"/>
      <c r="G32" s="717">
        <f t="shared" si="3"/>
        <v>0</v>
      </c>
      <c r="H32" s="717"/>
      <c r="I32" s="717">
        <f t="shared" si="4"/>
        <v>0</v>
      </c>
      <c r="J32" s="717">
        <f t="shared" si="4"/>
        <v>0</v>
      </c>
      <c r="K32" s="717">
        <f t="shared" si="4"/>
        <v>0</v>
      </c>
      <c r="L32" s="717"/>
      <c r="M32" s="709"/>
      <c r="N32" s="709"/>
      <c r="O32" s="709"/>
      <c r="P32" s="717"/>
      <c r="Q32" s="709"/>
      <c r="R32" s="709"/>
      <c r="S32" s="709"/>
    </row>
    <row r="33" spans="1:19" hidden="1">
      <c r="A33" s="731">
        <f t="shared" si="5"/>
        <v>5.0599999999999987</v>
      </c>
      <c r="B33" s="709"/>
      <c r="C33" s="717">
        <f t="shared" ref="C33:C39" si="6">SUM(M33:O33)</f>
        <v>0</v>
      </c>
      <c r="D33" s="717">
        <f t="shared" ref="D33:D39" si="7">SUM(Q33:S33)</f>
        <v>0</v>
      </c>
      <c r="E33" s="717"/>
      <c r="F33" s="717"/>
      <c r="G33" s="717">
        <f t="shared" si="3"/>
        <v>0</v>
      </c>
      <c r="H33" s="717"/>
      <c r="I33" s="717">
        <f t="shared" si="4"/>
        <v>0</v>
      </c>
      <c r="J33" s="717">
        <f t="shared" si="4"/>
        <v>0</v>
      </c>
      <c r="K33" s="717">
        <f t="shared" si="4"/>
        <v>0</v>
      </c>
      <c r="L33" s="717"/>
      <c r="M33" s="709"/>
      <c r="N33" s="709"/>
      <c r="O33" s="709"/>
      <c r="P33" s="717"/>
      <c r="Q33" s="709"/>
      <c r="R33" s="709"/>
      <c r="S33" s="709"/>
    </row>
    <row r="34" spans="1:19" hidden="1">
      <c r="A34" s="731">
        <f t="shared" si="5"/>
        <v>5.0699999999999985</v>
      </c>
      <c r="B34" s="709"/>
      <c r="C34" s="721">
        <f t="shared" si="6"/>
        <v>0</v>
      </c>
      <c r="D34" s="721">
        <f t="shared" si="7"/>
        <v>0</v>
      </c>
      <c r="E34" s="721"/>
      <c r="F34" s="721"/>
      <c r="G34" s="721">
        <f t="shared" si="3"/>
        <v>0</v>
      </c>
      <c r="H34" s="721"/>
      <c r="I34" s="721">
        <f t="shared" si="4"/>
        <v>0</v>
      </c>
      <c r="J34" s="721">
        <f t="shared" si="4"/>
        <v>0</v>
      </c>
      <c r="K34" s="721">
        <f t="shared" si="4"/>
        <v>0</v>
      </c>
      <c r="L34" s="721"/>
      <c r="M34" s="709"/>
      <c r="N34" s="738"/>
      <c r="O34" s="709"/>
      <c r="P34" s="717"/>
      <c r="Q34" s="738"/>
      <c r="R34" s="738"/>
      <c r="S34" s="709"/>
    </row>
    <row r="35" spans="1:19" hidden="1">
      <c r="A35" s="731">
        <f t="shared" si="5"/>
        <v>5.0799999999999983</v>
      </c>
      <c r="B35" s="709"/>
      <c r="C35" s="721">
        <f t="shared" si="6"/>
        <v>0</v>
      </c>
      <c r="D35" s="721">
        <f t="shared" si="7"/>
        <v>0</v>
      </c>
      <c r="E35" s="721"/>
      <c r="F35" s="721"/>
      <c r="G35" s="721">
        <f t="shared" si="3"/>
        <v>0</v>
      </c>
      <c r="H35" s="721"/>
      <c r="I35" s="721">
        <f t="shared" si="4"/>
        <v>0</v>
      </c>
      <c r="J35" s="721">
        <f t="shared" si="4"/>
        <v>0</v>
      </c>
      <c r="K35" s="721">
        <f t="shared" si="4"/>
        <v>0</v>
      </c>
      <c r="L35" s="721"/>
      <c r="M35" s="709"/>
      <c r="N35" s="709"/>
      <c r="O35" s="709"/>
      <c r="P35" s="721"/>
      <c r="Q35" s="709"/>
      <c r="R35" s="709"/>
      <c r="S35" s="709"/>
    </row>
    <row r="36" spans="1:19" hidden="1">
      <c r="A36" s="731">
        <f t="shared" si="5"/>
        <v>5.0899999999999981</v>
      </c>
      <c r="B36" s="709"/>
      <c r="C36" s="717">
        <f>SUM(M36:O36)</f>
        <v>0</v>
      </c>
      <c r="D36" s="717">
        <f t="shared" si="7"/>
        <v>0</v>
      </c>
      <c r="E36" s="717"/>
      <c r="F36" s="717"/>
      <c r="G36" s="717">
        <f>ROUND(SUM(C36:F36)/2,0)</f>
        <v>0</v>
      </c>
      <c r="H36" s="717"/>
      <c r="I36" s="717">
        <f t="shared" si="4"/>
        <v>0</v>
      </c>
      <c r="J36" s="717">
        <f t="shared" si="4"/>
        <v>0</v>
      </c>
      <c r="K36" s="717">
        <f t="shared" si="4"/>
        <v>0</v>
      </c>
      <c r="L36" s="717"/>
      <c r="M36" s="709"/>
      <c r="N36" s="709"/>
      <c r="O36" s="709"/>
      <c r="P36" s="717"/>
      <c r="Q36" s="709"/>
      <c r="R36" s="709"/>
      <c r="S36" s="709"/>
    </row>
    <row r="37" spans="1:19" hidden="1">
      <c r="A37" s="731">
        <f t="shared" si="5"/>
        <v>5.0999999999999979</v>
      </c>
      <c r="B37" s="709"/>
      <c r="C37" s="717">
        <f t="shared" si="6"/>
        <v>0</v>
      </c>
      <c r="D37" s="717">
        <f t="shared" si="7"/>
        <v>0</v>
      </c>
      <c r="E37" s="717"/>
      <c r="F37" s="717"/>
      <c r="G37" s="717">
        <f t="shared" si="3"/>
        <v>0</v>
      </c>
      <c r="H37" s="717"/>
      <c r="I37" s="717">
        <f t="shared" si="4"/>
        <v>0</v>
      </c>
      <c r="J37" s="717">
        <f t="shared" si="4"/>
        <v>0</v>
      </c>
      <c r="K37" s="717">
        <f t="shared" si="4"/>
        <v>0</v>
      </c>
      <c r="L37" s="717"/>
      <c r="M37" s="709"/>
      <c r="N37" s="709"/>
      <c r="O37" s="709"/>
      <c r="P37" s="717"/>
      <c r="Q37" s="709"/>
      <c r="R37" s="709"/>
      <c r="S37" s="709"/>
    </row>
    <row r="38" spans="1:19" hidden="1">
      <c r="A38" s="731">
        <f t="shared" si="5"/>
        <v>5.1099999999999977</v>
      </c>
      <c r="B38" s="709"/>
      <c r="C38" s="717">
        <f t="shared" si="6"/>
        <v>0</v>
      </c>
      <c r="D38" s="717">
        <f t="shared" si="7"/>
        <v>0</v>
      </c>
      <c r="E38" s="717"/>
      <c r="F38" s="717"/>
      <c r="G38" s="717">
        <f t="shared" si="3"/>
        <v>0</v>
      </c>
      <c r="H38" s="717"/>
      <c r="I38" s="717">
        <f t="shared" si="4"/>
        <v>0</v>
      </c>
      <c r="J38" s="717">
        <f t="shared" si="4"/>
        <v>0</v>
      </c>
      <c r="K38" s="717">
        <f t="shared" si="4"/>
        <v>0</v>
      </c>
      <c r="L38" s="717"/>
      <c r="M38" s="709"/>
      <c r="N38" s="709"/>
      <c r="O38" s="709"/>
      <c r="P38" s="717"/>
      <c r="Q38" s="709"/>
      <c r="R38" s="709"/>
      <c r="S38" s="709"/>
    </row>
    <row r="39" spans="1:19" hidden="1">
      <c r="A39" s="731">
        <f t="shared" si="5"/>
        <v>5.1199999999999974</v>
      </c>
      <c r="B39" s="709"/>
      <c r="C39" s="717">
        <f t="shared" si="6"/>
        <v>0</v>
      </c>
      <c r="D39" s="717">
        <f t="shared" si="7"/>
        <v>0</v>
      </c>
      <c r="E39" s="717"/>
      <c r="F39" s="717"/>
      <c r="G39" s="717">
        <f t="shared" si="3"/>
        <v>0</v>
      </c>
      <c r="H39" s="717"/>
      <c r="I39" s="717">
        <f t="shared" si="4"/>
        <v>0</v>
      </c>
      <c r="J39" s="717">
        <f t="shared" si="4"/>
        <v>0</v>
      </c>
      <c r="K39" s="717">
        <f t="shared" si="4"/>
        <v>0</v>
      </c>
      <c r="L39" s="717"/>
      <c r="M39" s="709"/>
      <c r="N39" s="709"/>
      <c r="O39" s="709"/>
      <c r="P39" s="717"/>
      <c r="Q39" s="709"/>
      <c r="R39" s="709"/>
      <c r="S39" s="709"/>
    </row>
    <row r="40" spans="1:19" hidden="1">
      <c r="A40" s="731">
        <f t="shared" si="5"/>
        <v>5.1299999999999972</v>
      </c>
      <c r="B40" s="709"/>
      <c r="C40" s="717">
        <f t="shared" si="1"/>
        <v>0</v>
      </c>
      <c r="D40" s="717">
        <f t="shared" si="2"/>
        <v>0</v>
      </c>
      <c r="E40" s="717"/>
      <c r="F40" s="717"/>
      <c r="G40" s="717">
        <f t="shared" si="3"/>
        <v>0</v>
      </c>
      <c r="H40" s="717"/>
      <c r="I40" s="717">
        <f t="shared" si="4"/>
        <v>0</v>
      </c>
      <c r="J40" s="717">
        <f t="shared" si="4"/>
        <v>0</v>
      </c>
      <c r="K40" s="717">
        <f t="shared" si="4"/>
        <v>0</v>
      </c>
      <c r="L40" s="717"/>
      <c r="M40" s="709"/>
      <c r="N40" s="709"/>
      <c r="O40" s="709"/>
      <c r="P40" s="717"/>
      <c r="Q40" s="709"/>
      <c r="R40" s="709"/>
      <c r="S40" s="709"/>
    </row>
    <row r="41" spans="1:19" hidden="1">
      <c r="A41" s="731">
        <f t="shared" si="5"/>
        <v>5.139999999999997</v>
      </c>
      <c r="B41" s="709"/>
      <c r="C41" s="717">
        <f t="shared" si="1"/>
        <v>0</v>
      </c>
      <c r="D41" s="717">
        <f t="shared" si="2"/>
        <v>0</v>
      </c>
      <c r="E41" s="717"/>
      <c r="F41" s="717"/>
      <c r="G41" s="717">
        <f t="shared" si="3"/>
        <v>0</v>
      </c>
      <c r="H41" s="717"/>
      <c r="I41" s="717">
        <f t="shared" si="4"/>
        <v>0</v>
      </c>
      <c r="J41" s="717">
        <f t="shared" si="4"/>
        <v>0</v>
      </c>
      <c r="K41" s="717">
        <f t="shared" si="4"/>
        <v>0</v>
      </c>
      <c r="L41" s="717"/>
      <c r="M41" s="709"/>
      <c r="N41" s="709"/>
      <c r="O41" s="709"/>
      <c r="P41" s="717"/>
      <c r="Q41" s="709"/>
      <c r="R41" s="709"/>
      <c r="S41" s="709"/>
    </row>
    <row r="42" spans="1:19" hidden="1">
      <c r="A42" s="731">
        <f t="shared" si="5"/>
        <v>5.1499999999999968</v>
      </c>
      <c r="B42" s="709"/>
      <c r="C42" s="717">
        <f t="shared" si="1"/>
        <v>0</v>
      </c>
      <c r="D42" s="717">
        <f t="shared" si="2"/>
        <v>0</v>
      </c>
      <c r="E42" s="717"/>
      <c r="F42" s="717"/>
      <c r="G42" s="717">
        <f t="shared" si="3"/>
        <v>0</v>
      </c>
      <c r="H42" s="717"/>
      <c r="I42" s="717">
        <f t="shared" si="4"/>
        <v>0</v>
      </c>
      <c r="J42" s="717">
        <f t="shared" si="4"/>
        <v>0</v>
      </c>
      <c r="K42" s="717">
        <f t="shared" si="4"/>
        <v>0</v>
      </c>
      <c r="L42" s="717"/>
      <c r="M42" s="709"/>
      <c r="N42" s="709"/>
      <c r="O42" s="709"/>
      <c r="P42" s="717"/>
      <c r="Q42" s="709"/>
      <c r="R42" s="709"/>
      <c r="S42" s="709"/>
    </row>
    <row r="43" spans="1:19" hidden="1">
      <c r="A43" s="731">
        <f t="shared" si="5"/>
        <v>5.1599999999999966</v>
      </c>
      <c r="B43" s="709"/>
      <c r="C43" s="717">
        <f t="shared" si="1"/>
        <v>0</v>
      </c>
      <c r="D43" s="717">
        <f t="shared" si="2"/>
        <v>0</v>
      </c>
      <c r="E43" s="717"/>
      <c r="F43" s="717"/>
      <c r="G43" s="717">
        <f t="shared" si="3"/>
        <v>0</v>
      </c>
      <c r="H43" s="717"/>
      <c r="I43" s="717">
        <f t="shared" si="4"/>
        <v>0</v>
      </c>
      <c r="J43" s="717">
        <f t="shared" si="4"/>
        <v>0</v>
      </c>
      <c r="K43" s="717">
        <f t="shared" si="4"/>
        <v>0</v>
      </c>
      <c r="L43" s="717"/>
      <c r="M43" s="709"/>
      <c r="N43" s="709"/>
      <c r="O43" s="709"/>
      <c r="P43" s="717"/>
      <c r="Q43" s="709"/>
      <c r="R43" s="709"/>
      <c r="S43" s="709"/>
    </row>
    <row r="44" spans="1:19" hidden="1">
      <c r="A44" s="731">
        <f t="shared" si="5"/>
        <v>5.1699999999999964</v>
      </c>
      <c r="B44" s="709"/>
      <c r="C44" s="717">
        <f t="shared" si="1"/>
        <v>0</v>
      </c>
      <c r="D44" s="717">
        <f t="shared" si="2"/>
        <v>0</v>
      </c>
      <c r="E44" s="717"/>
      <c r="F44" s="717"/>
      <c r="G44" s="717">
        <f t="shared" si="3"/>
        <v>0</v>
      </c>
      <c r="H44" s="717"/>
      <c r="I44" s="717">
        <f t="shared" si="4"/>
        <v>0</v>
      </c>
      <c r="J44" s="717">
        <f t="shared" si="4"/>
        <v>0</v>
      </c>
      <c r="K44" s="717">
        <f t="shared" si="4"/>
        <v>0</v>
      </c>
      <c r="L44" s="717"/>
      <c r="M44" s="709"/>
      <c r="N44" s="709"/>
      <c r="O44" s="709"/>
      <c r="P44" s="717"/>
      <c r="Q44" s="709"/>
      <c r="R44" s="709"/>
      <c r="S44" s="709"/>
    </row>
    <row r="45" spans="1:19" hidden="1">
      <c r="A45" s="731">
        <f t="shared" si="5"/>
        <v>5.1799999999999962</v>
      </c>
      <c r="B45" s="709"/>
      <c r="C45" s="717">
        <f t="shared" si="1"/>
        <v>0</v>
      </c>
      <c r="D45" s="717">
        <f t="shared" si="2"/>
        <v>0</v>
      </c>
      <c r="E45" s="717"/>
      <c r="F45" s="717"/>
      <c r="G45" s="717">
        <f t="shared" si="3"/>
        <v>0</v>
      </c>
      <c r="H45" s="717"/>
      <c r="I45" s="717">
        <f t="shared" si="4"/>
        <v>0</v>
      </c>
      <c r="J45" s="717">
        <f t="shared" si="4"/>
        <v>0</v>
      </c>
      <c r="K45" s="717">
        <f t="shared" si="4"/>
        <v>0</v>
      </c>
      <c r="L45" s="717"/>
      <c r="M45" s="709"/>
      <c r="N45" s="709"/>
      <c r="O45" s="709"/>
      <c r="P45" s="717"/>
      <c r="Q45" s="709"/>
      <c r="R45" s="709"/>
      <c r="S45" s="709"/>
    </row>
    <row r="46" spans="1:19" hidden="1">
      <c r="A46" s="731">
        <f t="shared" si="5"/>
        <v>5.1899999999999959</v>
      </c>
      <c r="B46" s="709"/>
      <c r="C46" s="717">
        <f t="shared" si="1"/>
        <v>0</v>
      </c>
      <c r="D46" s="717">
        <f t="shared" si="2"/>
        <v>0</v>
      </c>
      <c r="E46" s="717"/>
      <c r="F46" s="717"/>
      <c r="G46" s="717">
        <f t="shared" si="3"/>
        <v>0</v>
      </c>
      <c r="H46" s="717"/>
      <c r="I46" s="717">
        <f t="shared" si="4"/>
        <v>0</v>
      </c>
      <c r="J46" s="717">
        <f t="shared" si="4"/>
        <v>0</v>
      </c>
      <c r="K46" s="717">
        <f t="shared" si="4"/>
        <v>0</v>
      </c>
      <c r="L46" s="717"/>
      <c r="M46" s="709"/>
      <c r="N46" s="709"/>
      <c r="O46" s="709"/>
      <c r="P46" s="717"/>
      <c r="Q46" s="709"/>
      <c r="R46" s="709"/>
      <c r="S46" s="709"/>
    </row>
    <row r="47" spans="1:19" hidden="1">
      <c r="A47" s="731">
        <f t="shared" si="5"/>
        <v>5.1999999999999957</v>
      </c>
      <c r="B47" s="709"/>
      <c r="C47" s="717">
        <f t="shared" si="1"/>
        <v>0</v>
      </c>
      <c r="D47" s="717">
        <f t="shared" si="2"/>
        <v>0</v>
      </c>
      <c r="E47" s="717"/>
      <c r="F47" s="717"/>
      <c r="G47" s="717">
        <f t="shared" si="3"/>
        <v>0</v>
      </c>
      <c r="H47" s="717"/>
      <c r="I47" s="717">
        <f t="shared" si="4"/>
        <v>0</v>
      </c>
      <c r="J47" s="717">
        <f t="shared" si="4"/>
        <v>0</v>
      </c>
      <c r="K47" s="717">
        <f t="shared" si="4"/>
        <v>0</v>
      </c>
      <c r="L47" s="717"/>
      <c r="M47" s="709"/>
      <c r="N47" s="709"/>
      <c r="O47" s="709"/>
      <c r="P47" s="717"/>
      <c r="Q47" s="709"/>
      <c r="R47" s="709"/>
      <c r="S47" s="709"/>
    </row>
    <row r="48" spans="1:19" hidden="1">
      <c r="A48" s="731">
        <f t="shared" si="5"/>
        <v>5.2099999999999955</v>
      </c>
      <c r="B48" s="709"/>
      <c r="C48" s="717">
        <f t="shared" si="1"/>
        <v>0</v>
      </c>
      <c r="D48" s="717">
        <f t="shared" si="2"/>
        <v>0</v>
      </c>
      <c r="E48" s="717"/>
      <c r="F48" s="717"/>
      <c r="G48" s="717">
        <f t="shared" si="3"/>
        <v>0</v>
      </c>
      <c r="H48" s="717"/>
      <c r="I48" s="717">
        <f t="shared" si="4"/>
        <v>0</v>
      </c>
      <c r="J48" s="717">
        <f t="shared" si="4"/>
        <v>0</v>
      </c>
      <c r="K48" s="717">
        <f t="shared" si="4"/>
        <v>0</v>
      </c>
      <c r="L48" s="717"/>
      <c r="M48" s="709"/>
      <c r="N48" s="709"/>
      <c r="O48" s="709"/>
      <c r="P48" s="717"/>
      <c r="Q48" s="709"/>
      <c r="R48" s="709"/>
      <c r="S48" s="709"/>
    </row>
    <row r="49" spans="1:19" hidden="1">
      <c r="A49" s="731">
        <f t="shared" si="5"/>
        <v>5.2199999999999953</v>
      </c>
      <c r="B49" s="709"/>
      <c r="C49" s="717">
        <f t="shared" ref="C49:C55" si="8">SUM(M49:O49)</f>
        <v>0</v>
      </c>
      <c r="D49" s="717">
        <f t="shared" ref="D49:D55" si="9">SUM(Q49:S49)</f>
        <v>0</v>
      </c>
      <c r="E49" s="717"/>
      <c r="F49" s="717"/>
      <c r="G49" s="717">
        <f t="shared" si="3"/>
        <v>0</v>
      </c>
      <c r="H49" s="717"/>
      <c r="I49" s="717">
        <f t="shared" si="4"/>
        <v>0</v>
      </c>
      <c r="J49" s="717">
        <f t="shared" si="4"/>
        <v>0</v>
      </c>
      <c r="K49" s="717">
        <f t="shared" si="4"/>
        <v>0</v>
      </c>
      <c r="L49" s="717"/>
      <c r="M49" s="709"/>
      <c r="N49" s="709"/>
      <c r="O49" s="709"/>
      <c r="P49" s="717"/>
      <c r="Q49" s="709"/>
      <c r="R49" s="709"/>
      <c r="S49" s="709"/>
    </row>
    <row r="50" spans="1:19" hidden="1">
      <c r="A50" s="731">
        <f t="shared" si="5"/>
        <v>5.2299999999999951</v>
      </c>
      <c r="B50" s="709"/>
      <c r="C50" s="717">
        <f t="shared" si="8"/>
        <v>0</v>
      </c>
      <c r="D50" s="717">
        <f t="shared" si="9"/>
        <v>0</v>
      </c>
      <c r="E50" s="717"/>
      <c r="F50" s="717"/>
      <c r="G50" s="717">
        <f t="shared" si="3"/>
        <v>0</v>
      </c>
      <c r="H50" s="717"/>
      <c r="I50" s="717">
        <f t="shared" si="4"/>
        <v>0</v>
      </c>
      <c r="J50" s="717">
        <f t="shared" si="4"/>
        <v>0</v>
      </c>
      <c r="K50" s="717">
        <f t="shared" si="4"/>
        <v>0</v>
      </c>
      <c r="L50" s="717"/>
      <c r="M50" s="709"/>
      <c r="N50" s="709"/>
      <c r="O50" s="709"/>
      <c r="P50" s="717"/>
      <c r="Q50" s="709"/>
      <c r="R50" s="709"/>
      <c r="S50" s="709"/>
    </row>
    <row r="51" spans="1:19" hidden="1">
      <c r="A51" s="731">
        <f t="shared" si="5"/>
        <v>5.2399999999999949</v>
      </c>
      <c r="B51" s="709"/>
      <c r="C51" s="717">
        <f t="shared" si="8"/>
        <v>0</v>
      </c>
      <c r="D51" s="717">
        <f t="shared" si="9"/>
        <v>0</v>
      </c>
      <c r="E51" s="717"/>
      <c r="F51" s="717"/>
      <c r="G51" s="717">
        <f>ROUND(SUM(C51:F51)/2,0)</f>
        <v>0</v>
      </c>
      <c r="H51" s="717"/>
      <c r="I51" s="717">
        <f t="shared" si="4"/>
        <v>0</v>
      </c>
      <c r="J51" s="717">
        <f t="shared" si="4"/>
        <v>0</v>
      </c>
      <c r="K51" s="717">
        <f t="shared" si="4"/>
        <v>0</v>
      </c>
      <c r="L51" s="717"/>
      <c r="M51" s="709"/>
      <c r="N51" s="709"/>
      <c r="O51" s="709"/>
      <c r="P51" s="717"/>
      <c r="Q51" s="709"/>
      <c r="R51" s="709"/>
      <c r="S51" s="709"/>
    </row>
    <row r="52" spans="1:19" hidden="1">
      <c r="A52" s="731">
        <f t="shared" si="5"/>
        <v>5.2499999999999947</v>
      </c>
      <c r="B52" s="709"/>
      <c r="C52" s="717">
        <f t="shared" si="8"/>
        <v>0</v>
      </c>
      <c r="D52" s="717">
        <f t="shared" si="9"/>
        <v>0</v>
      </c>
      <c r="E52" s="717"/>
      <c r="F52" s="717"/>
      <c r="G52" s="717">
        <f>ROUND(SUM(C52:F52)/2,0)</f>
        <v>0</v>
      </c>
      <c r="H52" s="717"/>
      <c r="I52" s="717">
        <f t="shared" si="4"/>
        <v>0</v>
      </c>
      <c r="J52" s="717">
        <f t="shared" si="4"/>
        <v>0</v>
      </c>
      <c r="K52" s="717">
        <f t="shared" si="4"/>
        <v>0</v>
      </c>
      <c r="L52" s="717"/>
      <c r="M52" s="709"/>
      <c r="N52" s="709"/>
      <c r="O52" s="709"/>
      <c r="P52" s="717"/>
      <c r="Q52" s="709"/>
      <c r="R52" s="709"/>
      <c r="S52" s="709"/>
    </row>
    <row r="53" spans="1:19" hidden="1">
      <c r="A53" s="731">
        <f t="shared" si="5"/>
        <v>5.2599999999999945</v>
      </c>
      <c r="B53" s="709"/>
      <c r="C53" s="717">
        <f t="shared" si="8"/>
        <v>0</v>
      </c>
      <c r="D53" s="717">
        <f t="shared" si="9"/>
        <v>0</v>
      </c>
      <c r="E53" s="717"/>
      <c r="F53" s="717"/>
      <c r="G53" s="717">
        <f>ROUND(SUM(C53:F53)/2,0)</f>
        <v>0</v>
      </c>
      <c r="H53" s="717"/>
      <c r="I53" s="717">
        <f t="shared" si="4"/>
        <v>0</v>
      </c>
      <c r="J53" s="717">
        <f t="shared" si="4"/>
        <v>0</v>
      </c>
      <c r="K53" s="717">
        <f t="shared" si="4"/>
        <v>0</v>
      </c>
      <c r="L53" s="717"/>
      <c r="M53" s="709"/>
      <c r="N53" s="709"/>
      <c r="O53" s="709"/>
      <c r="P53" s="717"/>
      <c r="Q53" s="709"/>
      <c r="R53" s="709"/>
      <c r="S53" s="709"/>
    </row>
    <row r="54" spans="1:19" hidden="1">
      <c r="A54" s="731">
        <f t="shared" si="5"/>
        <v>5.2699999999999942</v>
      </c>
      <c r="B54" s="709"/>
      <c r="C54" s="717">
        <f t="shared" si="8"/>
        <v>0</v>
      </c>
      <c r="D54" s="717">
        <f t="shared" si="9"/>
        <v>0</v>
      </c>
      <c r="E54" s="717"/>
      <c r="F54" s="717"/>
      <c r="G54" s="717">
        <f>ROUND(SUM(C54:F54)/2,0)</f>
        <v>0</v>
      </c>
      <c r="H54" s="717"/>
      <c r="I54" s="717">
        <f t="shared" si="4"/>
        <v>0</v>
      </c>
      <c r="J54" s="717">
        <f t="shared" si="4"/>
        <v>0</v>
      </c>
      <c r="K54" s="717">
        <f t="shared" si="4"/>
        <v>0</v>
      </c>
      <c r="L54" s="717"/>
      <c r="M54" s="709"/>
      <c r="N54" s="709"/>
      <c r="O54" s="709"/>
      <c r="P54" s="717"/>
      <c r="Q54" s="709"/>
      <c r="R54" s="709"/>
      <c r="S54" s="709"/>
    </row>
    <row r="55" spans="1:19" hidden="1">
      <c r="A55" s="731">
        <f t="shared" si="5"/>
        <v>5.279999999999994</v>
      </c>
      <c r="B55" s="709"/>
      <c r="C55" s="717">
        <f t="shared" si="8"/>
        <v>0</v>
      </c>
      <c r="D55" s="717">
        <f t="shared" si="9"/>
        <v>0</v>
      </c>
      <c r="E55" s="717"/>
      <c r="F55" s="717"/>
      <c r="G55" s="717">
        <f>ROUND(SUM(C55:F55)/2,0)</f>
        <v>0</v>
      </c>
      <c r="H55" s="717"/>
      <c r="I55" s="717">
        <f t="shared" si="4"/>
        <v>0</v>
      </c>
      <c r="J55" s="717">
        <f t="shared" si="4"/>
        <v>0</v>
      </c>
      <c r="K55" s="717">
        <f t="shared" si="4"/>
        <v>0</v>
      </c>
      <c r="L55" s="717"/>
      <c r="M55" s="709"/>
      <c r="N55" s="709"/>
      <c r="O55" s="709"/>
      <c r="P55" s="717"/>
      <c r="Q55" s="709"/>
      <c r="R55" s="709"/>
      <c r="S55" s="709"/>
    </row>
    <row r="56" spans="1:19" hidden="1">
      <c r="A56" s="731">
        <f t="shared" si="5"/>
        <v>5.2899999999999938</v>
      </c>
      <c r="B56" s="709"/>
      <c r="C56" s="717">
        <f t="shared" si="1"/>
        <v>0</v>
      </c>
      <c r="D56" s="717">
        <f t="shared" si="2"/>
        <v>0</v>
      </c>
      <c r="E56" s="717"/>
      <c r="F56" s="717"/>
      <c r="G56" s="717">
        <f t="shared" ref="G56:G68" si="10">ROUND(SUM(C56:F56)/2,0)</f>
        <v>0</v>
      </c>
      <c r="H56" s="717"/>
      <c r="I56" s="717">
        <f t="shared" si="4"/>
        <v>0</v>
      </c>
      <c r="J56" s="717">
        <f t="shared" si="4"/>
        <v>0</v>
      </c>
      <c r="K56" s="717">
        <f t="shared" si="4"/>
        <v>0</v>
      </c>
      <c r="L56" s="717"/>
      <c r="M56" s="709"/>
      <c r="N56" s="709"/>
      <c r="O56" s="709"/>
      <c r="P56" s="717"/>
      <c r="Q56" s="709"/>
      <c r="R56" s="709"/>
      <c r="S56" s="709"/>
    </row>
    <row r="57" spans="1:19" hidden="1">
      <c r="A57" s="731">
        <f t="shared" si="5"/>
        <v>5.2999999999999936</v>
      </c>
      <c r="B57" s="709"/>
      <c r="C57" s="717">
        <f t="shared" si="1"/>
        <v>0</v>
      </c>
      <c r="D57" s="717">
        <f t="shared" si="2"/>
        <v>0</v>
      </c>
      <c r="E57" s="717"/>
      <c r="F57" s="717"/>
      <c r="G57" s="717">
        <f t="shared" si="10"/>
        <v>0</v>
      </c>
      <c r="H57" s="717"/>
      <c r="I57" s="717">
        <f t="shared" si="4"/>
        <v>0</v>
      </c>
      <c r="J57" s="717">
        <f t="shared" si="4"/>
        <v>0</v>
      </c>
      <c r="K57" s="717">
        <f t="shared" si="4"/>
        <v>0</v>
      </c>
      <c r="L57" s="717"/>
      <c r="M57" s="709"/>
      <c r="N57" s="709"/>
      <c r="O57" s="709"/>
      <c r="P57" s="717"/>
      <c r="Q57" s="709"/>
      <c r="R57" s="709"/>
      <c r="S57" s="709"/>
    </row>
    <row r="58" spans="1:19" hidden="1">
      <c r="A58" s="731">
        <f t="shared" si="5"/>
        <v>5.3099999999999934</v>
      </c>
      <c r="B58" s="709"/>
      <c r="C58" s="717">
        <f>SUM(M58:O58)</f>
        <v>0</v>
      </c>
      <c r="D58" s="717">
        <f>SUM(Q58:S58)</f>
        <v>0</v>
      </c>
      <c r="E58" s="717"/>
      <c r="F58" s="717"/>
      <c r="G58" s="717">
        <f>ROUND(SUM(C58:F58)/2,0)</f>
        <v>0</v>
      </c>
      <c r="H58" s="717"/>
      <c r="I58" s="717">
        <f t="shared" si="4"/>
        <v>0</v>
      </c>
      <c r="J58" s="717">
        <f t="shared" si="4"/>
        <v>0</v>
      </c>
      <c r="K58" s="717">
        <f t="shared" si="4"/>
        <v>0</v>
      </c>
      <c r="L58" s="717"/>
      <c r="M58" s="709"/>
      <c r="N58" s="709"/>
      <c r="O58" s="709"/>
      <c r="P58" s="717"/>
      <c r="Q58" s="709"/>
      <c r="R58" s="709"/>
      <c r="S58" s="709"/>
    </row>
    <row r="59" spans="1:19" hidden="1">
      <c r="A59" s="731">
        <f t="shared" si="5"/>
        <v>5.3199999999999932</v>
      </c>
      <c r="B59" s="709"/>
      <c r="C59" s="717">
        <f t="shared" si="1"/>
        <v>0</v>
      </c>
      <c r="D59" s="717">
        <f t="shared" si="2"/>
        <v>0</v>
      </c>
      <c r="E59" s="717"/>
      <c r="F59" s="717"/>
      <c r="G59" s="717">
        <f t="shared" si="10"/>
        <v>0</v>
      </c>
      <c r="H59" s="717"/>
      <c r="I59" s="717">
        <f t="shared" si="4"/>
        <v>0</v>
      </c>
      <c r="J59" s="717">
        <f t="shared" si="4"/>
        <v>0</v>
      </c>
      <c r="K59" s="717">
        <f t="shared" si="4"/>
        <v>0</v>
      </c>
      <c r="L59" s="717"/>
      <c r="M59" s="709"/>
      <c r="N59" s="709"/>
      <c r="O59" s="709"/>
      <c r="P59" s="717"/>
      <c r="Q59" s="709"/>
      <c r="R59" s="709"/>
      <c r="S59" s="709"/>
    </row>
    <row r="60" spans="1:19" hidden="1">
      <c r="A60" s="731">
        <f t="shared" si="5"/>
        <v>5.329999999999993</v>
      </c>
      <c r="B60" s="709"/>
      <c r="C60" s="717">
        <f t="shared" si="1"/>
        <v>0</v>
      </c>
      <c r="D60" s="717">
        <f t="shared" si="2"/>
        <v>0</v>
      </c>
      <c r="E60" s="717"/>
      <c r="F60" s="717"/>
      <c r="G60" s="717">
        <f t="shared" si="10"/>
        <v>0</v>
      </c>
      <c r="H60" s="717"/>
      <c r="I60" s="717">
        <f t="shared" si="4"/>
        <v>0</v>
      </c>
      <c r="J60" s="717">
        <f t="shared" si="4"/>
        <v>0</v>
      </c>
      <c r="K60" s="717">
        <f t="shared" si="4"/>
        <v>0</v>
      </c>
      <c r="L60" s="717"/>
      <c r="M60" s="709"/>
      <c r="N60" s="709"/>
      <c r="O60" s="709"/>
      <c r="P60" s="717"/>
      <c r="Q60" s="709"/>
      <c r="R60" s="709"/>
      <c r="S60" s="709"/>
    </row>
    <row r="61" spans="1:19" hidden="1">
      <c r="A61" s="731">
        <f t="shared" si="5"/>
        <v>5.3399999999999928</v>
      </c>
      <c r="B61" s="709"/>
      <c r="C61" s="721">
        <f>SUM(M61:O61)</f>
        <v>0</v>
      </c>
      <c r="D61" s="721">
        <f>SUM(Q61:S61)</f>
        <v>0</v>
      </c>
      <c r="E61" s="721"/>
      <c r="F61" s="721"/>
      <c r="G61" s="721">
        <f>ROUND(SUM(C61:F61)/2,0)</f>
        <v>0</v>
      </c>
      <c r="H61" s="721"/>
      <c r="I61" s="721">
        <f t="shared" si="4"/>
        <v>0</v>
      </c>
      <c r="J61" s="721">
        <f t="shared" si="4"/>
        <v>0</v>
      </c>
      <c r="K61" s="721">
        <f t="shared" si="4"/>
        <v>0</v>
      </c>
      <c r="L61" s="721"/>
      <c r="M61" s="709"/>
      <c r="N61" s="709"/>
      <c r="O61" s="709"/>
      <c r="P61" s="721"/>
      <c r="Q61" s="709"/>
      <c r="R61" s="709"/>
      <c r="S61" s="709"/>
    </row>
    <row r="62" spans="1:19" hidden="1">
      <c r="A62" s="731">
        <f t="shared" si="5"/>
        <v>5.3499999999999925</v>
      </c>
      <c r="B62" s="709"/>
      <c r="C62" s="721">
        <f t="shared" si="1"/>
        <v>0</v>
      </c>
      <c r="D62" s="721">
        <f t="shared" si="2"/>
        <v>0</v>
      </c>
      <c r="E62" s="721"/>
      <c r="F62" s="721"/>
      <c r="G62" s="721">
        <f t="shared" si="10"/>
        <v>0</v>
      </c>
      <c r="H62" s="721"/>
      <c r="I62" s="721">
        <f t="shared" si="4"/>
        <v>0</v>
      </c>
      <c r="J62" s="721">
        <f t="shared" si="4"/>
        <v>0</v>
      </c>
      <c r="K62" s="721">
        <f t="shared" si="4"/>
        <v>0</v>
      </c>
      <c r="L62" s="721"/>
      <c r="M62" s="709"/>
      <c r="N62" s="709"/>
      <c r="O62" s="709"/>
      <c r="P62" s="721"/>
      <c r="Q62" s="709"/>
      <c r="R62" s="709"/>
      <c r="S62" s="709"/>
    </row>
    <row r="63" spans="1:19" hidden="1">
      <c r="A63" s="731">
        <f t="shared" si="5"/>
        <v>5.3599999999999923</v>
      </c>
      <c r="B63" s="709"/>
      <c r="C63" s="717">
        <f t="shared" si="1"/>
        <v>0</v>
      </c>
      <c r="D63" s="717">
        <f t="shared" si="2"/>
        <v>0</v>
      </c>
      <c r="E63" s="717"/>
      <c r="F63" s="717"/>
      <c r="G63" s="717">
        <f t="shared" si="10"/>
        <v>0</v>
      </c>
      <c r="H63" s="717"/>
      <c r="I63" s="717">
        <f t="shared" si="4"/>
        <v>0</v>
      </c>
      <c r="J63" s="717">
        <f t="shared" si="4"/>
        <v>0</v>
      </c>
      <c r="K63" s="717">
        <f t="shared" si="4"/>
        <v>0</v>
      </c>
      <c r="L63" s="717"/>
      <c r="M63" s="709"/>
      <c r="N63" s="709"/>
      <c r="O63" s="709"/>
      <c r="P63" s="717"/>
      <c r="Q63" s="709"/>
      <c r="R63" s="709"/>
      <c r="S63" s="709"/>
    </row>
    <row r="64" spans="1:19" hidden="1">
      <c r="A64" s="731">
        <f t="shared" si="5"/>
        <v>5.3699999999999921</v>
      </c>
      <c r="B64" s="709"/>
      <c r="C64" s="717">
        <f t="shared" si="1"/>
        <v>0</v>
      </c>
      <c r="D64" s="717">
        <f t="shared" si="2"/>
        <v>0</v>
      </c>
      <c r="E64" s="717"/>
      <c r="F64" s="717"/>
      <c r="G64" s="717">
        <f t="shared" si="10"/>
        <v>0</v>
      </c>
      <c r="H64" s="717"/>
      <c r="I64" s="717">
        <f t="shared" si="4"/>
        <v>0</v>
      </c>
      <c r="J64" s="717">
        <f t="shared" si="4"/>
        <v>0</v>
      </c>
      <c r="K64" s="717">
        <f t="shared" si="4"/>
        <v>0</v>
      </c>
      <c r="L64" s="717"/>
      <c r="M64" s="709"/>
      <c r="N64" s="709"/>
      <c r="O64" s="709"/>
      <c r="P64" s="717"/>
      <c r="Q64" s="709"/>
      <c r="R64" s="709"/>
      <c r="S64" s="709"/>
    </row>
    <row r="65" spans="1:19">
      <c r="A65" s="731">
        <f t="shared" si="5"/>
        <v>5.3799999999999919</v>
      </c>
      <c r="B65" s="709"/>
      <c r="C65" s="717">
        <f>SUM(M65:O65)</f>
        <v>0</v>
      </c>
      <c r="D65" s="717">
        <f>SUM(Q65:S65)</f>
        <v>0</v>
      </c>
      <c r="E65" s="717"/>
      <c r="F65" s="717"/>
      <c r="G65" s="717">
        <f>ROUND(SUM(C65:F65)/2,0)</f>
        <v>0</v>
      </c>
      <c r="H65" s="717"/>
      <c r="I65" s="717">
        <f t="shared" si="4"/>
        <v>0</v>
      </c>
      <c r="J65" s="717">
        <f t="shared" si="4"/>
        <v>0</v>
      </c>
      <c r="K65" s="717">
        <f t="shared" si="4"/>
        <v>0</v>
      </c>
      <c r="L65" s="717"/>
      <c r="M65" s="709"/>
      <c r="N65" s="709"/>
      <c r="O65" s="709"/>
      <c r="P65" s="717"/>
      <c r="Q65" s="709"/>
      <c r="R65" s="709"/>
      <c r="S65" s="709"/>
    </row>
    <row r="66" spans="1:19">
      <c r="A66" s="731">
        <f t="shared" si="5"/>
        <v>5.3899999999999917</v>
      </c>
      <c r="B66" s="709"/>
      <c r="C66" s="709"/>
      <c r="D66" s="709"/>
      <c r="E66" s="717">
        <f t="shared" ref="E66:F68" si="11">-C66</f>
        <v>0</v>
      </c>
      <c r="F66" s="717">
        <f t="shared" si="11"/>
        <v>0</v>
      </c>
      <c r="G66" s="717">
        <f t="shared" si="10"/>
        <v>0</v>
      </c>
      <c r="H66" s="717"/>
      <c r="I66" s="717"/>
      <c r="J66" s="717"/>
      <c r="K66" s="717"/>
      <c r="L66" s="717"/>
      <c r="M66" s="717"/>
      <c r="N66" s="717"/>
      <c r="O66" s="717"/>
      <c r="P66" s="717"/>
      <c r="Q66" s="717"/>
      <c r="R66" s="717"/>
      <c r="S66" s="717"/>
    </row>
    <row r="67" spans="1:19">
      <c r="A67" s="731">
        <f t="shared" si="5"/>
        <v>5.3999999999999915</v>
      </c>
      <c r="B67" s="709"/>
      <c r="C67" s="709"/>
      <c r="D67" s="709"/>
      <c r="E67" s="717">
        <f t="shared" si="11"/>
        <v>0</v>
      </c>
      <c r="F67" s="717">
        <f t="shared" si="11"/>
        <v>0</v>
      </c>
      <c r="G67" s="717">
        <f t="shared" si="10"/>
        <v>0</v>
      </c>
      <c r="H67" s="717"/>
      <c r="I67" s="717"/>
      <c r="J67" s="717"/>
      <c r="K67" s="717"/>
      <c r="L67" s="717"/>
      <c r="M67" s="717"/>
      <c r="N67" s="717"/>
      <c r="O67" s="717"/>
      <c r="P67" s="717"/>
      <c r="Q67" s="717"/>
      <c r="R67" s="717"/>
      <c r="S67" s="717"/>
    </row>
    <row r="68" spans="1:19">
      <c r="A68" s="731">
        <f t="shared" si="5"/>
        <v>5.4099999999999913</v>
      </c>
      <c r="B68" s="709"/>
      <c r="C68" s="709"/>
      <c r="D68" s="709"/>
      <c r="E68" s="717">
        <f t="shared" si="11"/>
        <v>0</v>
      </c>
      <c r="F68" s="717">
        <f t="shared" si="11"/>
        <v>0</v>
      </c>
      <c r="G68" s="717">
        <f t="shared" si="10"/>
        <v>0</v>
      </c>
      <c r="H68" s="717"/>
      <c r="I68" s="717"/>
      <c r="J68" s="717"/>
      <c r="K68" s="717"/>
      <c r="L68" s="717"/>
      <c r="M68" s="717"/>
      <c r="N68" s="717"/>
      <c r="O68" s="717"/>
      <c r="P68" s="717"/>
      <c r="Q68" s="717"/>
      <c r="R68" s="717"/>
      <c r="S68" s="717"/>
    </row>
    <row r="69" spans="1:19">
      <c r="A69" s="707"/>
    </row>
    <row r="70" spans="1:19">
      <c r="A70" s="724"/>
      <c r="B70" s="711"/>
      <c r="C70" s="717"/>
      <c r="D70" s="717"/>
      <c r="E70" s="717"/>
      <c r="F70" s="717"/>
      <c r="G70" s="717"/>
      <c r="H70" s="717"/>
      <c r="I70" s="717"/>
      <c r="J70" s="717"/>
      <c r="K70" s="717"/>
      <c r="L70" s="717"/>
      <c r="M70" s="717"/>
      <c r="N70" s="717"/>
      <c r="O70" s="717"/>
      <c r="P70" s="717"/>
      <c r="Q70" s="717"/>
      <c r="R70" s="717"/>
      <c r="S70" s="717"/>
    </row>
    <row r="71" spans="1:19" ht="13.5" thickBot="1">
      <c r="A71" s="724">
        <v>6</v>
      </c>
      <c r="B71" s="707" t="s">
        <v>678</v>
      </c>
      <c r="C71" s="719">
        <f>SUM(C28:C70)</f>
        <v>0</v>
      </c>
      <c r="D71" s="719">
        <f>SUM(D28:D70)</f>
        <v>0</v>
      </c>
      <c r="E71" s="719">
        <f>SUM(E28:E70)</f>
        <v>0</v>
      </c>
      <c r="F71" s="719">
        <f>SUM(F28:F70)</f>
        <v>0</v>
      </c>
      <c r="G71" s="719">
        <f>SUM(G28:G70)</f>
        <v>0</v>
      </c>
      <c r="H71" s="717"/>
      <c r="I71" s="719">
        <f>SUM(I28:I70)</f>
        <v>0</v>
      </c>
      <c r="J71" s="719">
        <f>SUM(J28:J70)</f>
        <v>0</v>
      </c>
      <c r="K71" s="719">
        <f>SUM(K28:K70)</f>
        <v>0</v>
      </c>
      <c r="L71" s="717"/>
      <c r="M71" s="719">
        <f>SUM(M28:M70)</f>
        <v>0</v>
      </c>
      <c r="N71" s="719">
        <f>SUM(N28:N70)</f>
        <v>0</v>
      </c>
      <c r="O71" s="719">
        <f>SUM(O28:O70)</f>
        <v>0</v>
      </c>
      <c r="P71" s="717"/>
      <c r="Q71" s="719">
        <f>SUM(Q28:Q70)</f>
        <v>0</v>
      </c>
      <c r="R71" s="719">
        <f>SUM(R28:R70)</f>
        <v>0</v>
      </c>
      <c r="S71" s="719">
        <f>SUM(S28:S70)</f>
        <v>0</v>
      </c>
    </row>
    <row r="72" spans="1:19" ht="13.5" thickTop="1">
      <c r="A72" s="724">
        <f>A71+1</f>
        <v>7</v>
      </c>
      <c r="B72" s="711" t="s">
        <v>679</v>
      </c>
      <c r="C72" s="720">
        <f>SUM(C34,C35,C61,C62)</f>
        <v>0</v>
      </c>
      <c r="D72" s="720">
        <f>SUM(D34,D35,D61,D62)</f>
        <v>0</v>
      </c>
      <c r="E72" s="720">
        <f>SUM(E34,E35,E61,E62)</f>
        <v>0</v>
      </c>
      <c r="F72" s="720">
        <f>SUM(F34,F35,F61,F62)</f>
        <v>0</v>
      </c>
      <c r="G72" s="720">
        <f>SUM(G34,G35,G61,G62)</f>
        <v>0</v>
      </c>
      <c r="H72" s="717"/>
      <c r="I72" s="720">
        <f>SUM(I34,I35,I61,I62)</f>
        <v>0</v>
      </c>
      <c r="J72" s="720">
        <f>SUM(J34,J35,J61,J62)</f>
        <v>0</v>
      </c>
      <c r="K72" s="720">
        <f>SUM(K34,K35,K61,K62)</f>
        <v>0</v>
      </c>
      <c r="L72" s="720"/>
      <c r="M72" s="720">
        <f>SUM(M34,M35,M61,M62)</f>
        <v>0</v>
      </c>
      <c r="N72" s="720">
        <f>SUM(N34,N35,N61,N62)</f>
        <v>0</v>
      </c>
      <c r="O72" s="720">
        <f>SUM(O34,O35,O61,O62)</f>
        <v>0</v>
      </c>
      <c r="P72" s="717"/>
      <c r="Q72" s="720">
        <f>SUM(Q34,Q35,Q61,Q62)</f>
        <v>0</v>
      </c>
      <c r="R72" s="720">
        <f>SUM(R34,R35,R61,R62)</f>
        <v>0</v>
      </c>
      <c r="S72" s="720">
        <f>SUM(S34,S35,S61,S62)</f>
        <v>0</v>
      </c>
    </row>
    <row r="73" spans="1:19">
      <c r="A73" s="724"/>
      <c r="C73" s="717"/>
      <c r="D73" s="717"/>
      <c r="E73" s="717"/>
      <c r="F73" s="717"/>
      <c r="G73" s="717"/>
      <c r="H73" s="717"/>
      <c r="I73" s="717"/>
      <c r="J73" s="717"/>
      <c r="K73" s="717"/>
      <c r="L73" s="717"/>
      <c r="M73" s="717"/>
      <c r="N73" s="717"/>
      <c r="O73" s="717"/>
      <c r="P73" s="717"/>
      <c r="Q73" s="717"/>
      <c r="R73" s="717"/>
      <c r="S73" s="717"/>
    </row>
    <row r="74" spans="1:19">
      <c r="A74" s="724">
        <v>8</v>
      </c>
      <c r="B74" s="707" t="s">
        <v>680</v>
      </c>
      <c r="C74" s="717" t="s">
        <v>414</v>
      </c>
      <c r="D74" s="717"/>
      <c r="E74" s="717"/>
      <c r="F74" s="717"/>
      <c r="G74" s="717"/>
      <c r="H74" s="717"/>
      <c r="I74" s="717"/>
      <c r="J74" s="717"/>
      <c r="K74" s="717"/>
      <c r="L74" s="717"/>
      <c r="M74" s="717"/>
      <c r="N74" s="717"/>
      <c r="O74" s="717"/>
      <c r="P74" s="717"/>
      <c r="Q74" s="717"/>
      <c r="R74" s="717"/>
      <c r="S74" s="717"/>
    </row>
    <row r="75" spans="1:19">
      <c r="A75" s="724"/>
      <c r="B75" s="711"/>
      <c r="C75" s="717"/>
      <c r="D75" s="717"/>
      <c r="E75" s="717"/>
      <c r="F75" s="717"/>
      <c r="G75" s="717"/>
      <c r="H75" s="717"/>
      <c r="I75" s="717"/>
      <c r="J75" s="717"/>
      <c r="K75" s="717"/>
      <c r="L75" s="717"/>
      <c r="M75" s="717"/>
      <c r="N75" s="717"/>
      <c r="O75" s="717"/>
      <c r="P75" s="717"/>
      <c r="Q75" s="717"/>
      <c r="R75" s="717"/>
      <c r="S75" s="717"/>
    </row>
    <row r="76" spans="1:19">
      <c r="A76" s="731">
        <v>9.01</v>
      </c>
      <c r="B76" s="709"/>
      <c r="C76" s="717">
        <f>SUM(M76:O76)</f>
        <v>0</v>
      </c>
      <c r="D76" s="717">
        <f t="shared" ref="D76:D139" si="12">SUM(Q76:S76)</f>
        <v>0</v>
      </c>
      <c r="E76" s="717"/>
      <c r="F76" s="717"/>
      <c r="G76" s="717">
        <f t="shared" ref="G76:G130" si="13">ROUND(SUM(C76:F76)/2,0)</f>
        <v>0</v>
      </c>
      <c r="H76" s="717"/>
      <c r="I76" s="717">
        <f>(M76+Q76)/2</f>
        <v>0</v>
      </c>
      <c r="J76" s="717">
        <f>(N76+R76)/2</f>
        <v>0</v>
      </c>
      <c r="K76" s="717">
        <f>(O76+S76)/2</f>
        <v>0</v>
      </c>
      <c r="L76" s="717"/>
      <c r="M76" s="709"/>
      <c r="N76" s="709"/>
      <c r="O76" s="709"/>
      <c r="P76" s="717"/>
      <c r="Q76" s="709"/>
      <c r="R76" s="709"/>
      <c r="S76" s="709"/>
    </row>
    <row r="77" spans="1:19">
      <c r="A77" s="731">
        <f>A76+0.01</f>
        <v>9.02</v>
      </c>
      <c r="B77" s="709"/>
      <c r="C77" s="717">
        <f t="shared" ref="C77:C140" si="14">SUM(M77:O77)</f>
        <v>0</v>
      </c>
      <c r="D77" s="717">
        <f t="shared" si="12"/>
        <v>0</v>
      </c>
      <c r="E77" s="717"/>
      <c r="F77" s="717"/>
      <c r="G77" s="717">
        <f>ROUND(SUM(C77:F77)/2,0)</f>
        <v>0</v>
      </c>
      <c r="H77" s="717"/>
      <c r="I77" s="717">
        <f t="shared" ref="I77:K136" si="15">(M77+Q77)/2</f>
        <v>0</v>
      </c>
      <c r="J77" s="717">
        <f t="shared" si="15"/>
        <v>0</v>
      </c>
      <c r="K77" s="717">
        <f t="shared" si="15"/>
        <v>0</v>
      </c>
      <c r="L77" s="717"/>
      <c r="M77" s="709"/>
      <c r="N77" s="709"/>
      <c r="O77" s="709"/>
      <c r="P77" s="717"/>
      <c r="Q77" s="709"/>
      <c r="R77" s="709"/>
      <c r="S77" s="709"/>
    </row>
    <row r="78" spans="1:19" hidden="1">
      <c r="A78" s="731">
        <f t="shared" ref="A78:A141" si="16">A77+0.01</f>
        <v>9.0299999999999994</v>
      </c>
      <c r="B78" s="709"/>
      <c r="C78" s="717">
        <f t="shared" si="14"/>
        <v>0</v>
      </c>
      <c r="D78" s="717">
        <f t="shared" si="12"/>
        <v>0</v>
      </c>
      <c r="E78" s="717"/>
      <c r="F78" s="717"/>
      <c r="G78" s="717">
        <f t="shared" si="13"/>
        <v>0</v>
      </c>
      <c r="H78" s="717"/>
      <c r="I78" s="717">
        <f t="shared" si="15"/>
        <v>0</v>
      </c>
      <c r="J78" s="717">
        <f t="shared" si="15"/>
        <v>0</v>
      </c>
      <c r="K78" s="717">
        <f t="shared" si="15"/>
        <v>0</v>
      </c>
      <c r="L78" s="717"/>
      <c r="M78" s="709"/>
      <c r="N78" s="709"/>
      <c r="O78" s="709"/>
      <c r="P78" s="717"/>
      <c r="Q78" s="709"/>
      <c r="R78" s="709"/>
      <c r="S78" s="709"/>
    </row>
    <row r="79" spans="1:19" hidden="1">
      <c r="A79" s="731">
        <f t="shared" si="16"/>
        <v>9.0399999999999991</v>
      </c>
      <c r="B79" s="709"/>
      <c r="C79" s="717">
        <f t="shared" si="14"/>
        <v>0</v>
      </c>
      <c r="D79" s="717">
        <f t="shared" si="12"/>
        <v>0</v>
      </c>
      <c r="E79" s="717"/>
      <c r="F79" s="717"/>
      <c r="G79" s="717">
        <f t="shared" si="13"/>
        <v>0</v>
      </c>
      <c r="H79" s="717"/>
      <c r="I79" s="717">
        <f t="shared" si="15"/>
        <v>0</v>
      </c>
      <c r="J79" s="717">
        <f t="shared" si="15"/>
        <v>0</v>
      </c>
      <c r="K79" s="717">
        <f t="shared" si="15"/>
        <v>0</v>
      </c>
      <c r="L79" s="717"/>
      <c r="M79" s="709"/>
      <c r="N79" s="709"/>
      <c r="O79" s="709"/>
      <c r="P79" s="717"/>
      <c r="Q79" s="709"/>
      <c r="R79" s="709"/>
      <c r="S79" s="709"/>
    </row>
    <row r="80" spans="1:19" hidden="1">
      <c r="A80" s="731">
        <f t="shared" si="16"/>
        <v>9.0499999999999989</v>
      </c>
      <c r="B80" s="709"/>
      <c r="C80" s="717">
        <f t="shared" si="14"/>
        <v>0</v>
      </c>
      <c r="D80" s="717">
        <f t="shared" si="12"/>
        <v>0</v>
      </c>
      <c r="E80" s="717"/>
      <c r="F80" s="717"/>
      <c r="G80" s="717">
        <f t="shared" si="13"/>
        <v>0</v>
      </c>
      <c r="H80" s="717"/>
      <c r="I80" s="717">
        <f t="shared" si="15"/>
        <v>0</v>
      </c>
      <c r="J80" s="717">
        <f t="shared" si="15"/>
        <v>0</v>
      </c>
      <c r="K80" s="717">
        <f t="shared" si="15"/>
        <v>0</v>
      </c>
      <c r="L80" s="717"/>
      <c r="M80" s="709"/>
      <c r="N80" s="709"/>
      <c r="O80" s="709"/>
      <c r="P80" s="717"/>
      <c r="Q80" s="709"/>
      <c r="R80" s="709"/>
      <c r="S80" s="709"/>
    </row>
    <row r="81" spans="1:19" hidden="1">
      <c r="A81" s="731">
        <f t="shared" si="16"/>
        <v>9.0599999999999987</v>
      </c>
      <c r="B81" s="709"/>
      <c r="C81" s="717">
        <f t="shared" si="14"/>
        <v>0</v>
      </c>
      <c r="D81" s="717">
        <f t="shared" si="12"/>
        <v>0</v>
      </c>
      <c r="E81" s="717"/>
      <c r="F81" s="717"/>
      <c r="G81" s="717">
        <f t="shared" si="13"/>
        <v>0</v>
      </c>
      <c r="H81" s="717"/>
      <c r="I81" s="717">
        <f t="shared" si="15"/>
        <v>0</v>
      </c>
      <c r="J81" s="717">
        <f t="shared" si="15"/>
        <v>0</v>
      </c>
      <c r="K81" s="717">
        <f t="shared" si="15"/>
        <v>0</v>
      </c>
      <c r="L81" s="717"/>
      <c r="M81" s="709"/>
      <c r="N81" s="709"/>
      <c r="O81" s="709"/>
      <c r="P81" s="717"/>
      <c r="Q81" s="709"/>
      <c r="R81" s="709"/>
      <c r="S81" s="709"/>
    </row>
    <row r="82" spans="1:19" hidden="1">
      <c r="A82" s="731">
        <f t="shared" si="16"/>
        <v>9.0699999999999985</v>
      </c>
      <c r="B82" s="709"/>
      <c r="C82" s="717">
        <f t="shared" si="14"/>
        <v>0</v>
      </c>
      <c r="D82" s="717">
        <f t="shared" si="12"/>
        <v>0</v>
      </c>
      <c r="E82" s="717"/>
      <c r="F82" s="717"/>
      <c r="G82" s="717">
        <f>ROUND(SUM(C82:F82)/2,0)</f>
        <v>0</v>
      </c>
      <c r="H82" s="717"/>
      <c r="I82" s="717">
        <f t="shared" si="15"/>
        <v>0</v>
      </c>
      <c r="J82" s="717">
        <f t="shared" si="15"/>
        <v>0</v>
      </c>
      <c r="K82" s="717">
        <f t="shared" si="15"/>
        <v>0</v>
      </c>
      <c r="L82" s="717"/>
      <c r="M82" s="709"/>
      <c r="N82" s="709"/>
      <c r="O82" s="709"/>
      <c r="P82" s="717"/>
      <c r="Q82" s="709"/>
      <c r="R82" s="709"/>
      <c r="S82" s="709"/>
    </row>
    <row r="83" spans="1:19" hidden="1">
      <c r="A83" s="731">
        <f t="shared" si="16"/>
        <v>9.0799999999999983</v>
      </c>
      <c r="B83" s="709"/>
      <c r="C83" s="717">
        <f t="shared" si="14"/>
        <v>0</v>
      </c>
      <c r="D83" s="717">
        <f t="shared" si="12"/>
        <v>0</v>
      </c>
      <c r="E83" s="717"/>
      <c r="F83" s="717"/>
      <c r="G83" s="717">
        <f>ROUND(SUM(C83:F83)/2,0)</f>
        <v>0</v>
      </c>
      <c r="H83" s="717"/>
      <c r="I83" s="717">
        <f t="shared" si="15"/>
        <v>0</v>
      </c>
      <c r="J83" s="717">
        <f t="shared" si="15"/>
        <v>0</v>
      </c>
      <c r="K83" s="717">
        <f t="shared" si="15"/>
        <v>0</v>
      </c>
      <c r="L83" s="717"/>
      <c r="M83" s="709"/>
      <c r="N83" s="709"/>
      <c r="O83" s="709"/>
      <c r="P83" s="717"/>
      <c r="Q83" s="709"/>
      <c r="R83" s="709"/>
      <c r="S83" s="709"/>
    </row>
    <row r="84" spans="1:19" hidden="1">
      <c r="A84" s="731">
        <f t="shared" si="16"/>
        <v>9.0899999999999981</v>
      </c>
      <c r="B84" s="709"/>
      <c r="C84" s="717">
        <f t="shared" si="14"/>
        <v>0</v>
      </c>
      <c r="D84" s="717">
        <f t="shared" si="12"/>
        <v>0</v>
      </c>
      <c r="E84" s="717"/>
      <c r="F84" s="717"/>
      <c r="G84" s="717">
        <f t="shared" si="13"/>
        <v>0</v>
      </c>
      <c r="H84" s="717"/>
      <c r="I84" s="717">
        <f t="shared" si="15"/>
        <v>0</v>
      </c>
      <c r="J84" s="717">
        <f t="shared" si="15"/>
        <v>0</v>
      </c>
      <c r="K84" s="717">
        <f t="shared" si="15"/>
        <v>0</v>
      </c>
      <c r="L84" s="717"/>
      <c r="M84" s="709"/>
      <c r="N84" s="709"/>
      <c r="O84" s="709"/>
      <c r="P84" s="717"/>
      <c r="Q84" s="709"/>
      <c r="R84" s="709"/>
      <c r="S84" s="709"/>
    </row>
    <row r="85" spans="1:19" hidden="1">
      <c r="A85" s="731">
        <f t="shared" si="16"/>
        <v>9.0999999999999979</v>
      </c>
      <c r="B85" s="709"/>
      <c r="C85" s="717">
        <f t="shared" si="14"/>
        <v>0</v>
      </c>
      <c r="D85" s="717">
        <f t="shared" si="12"/>
        <v>0</v>
      </c>
      <c r="E85" s="717"/>
      <c r="F85" s="717"/>
      <c r="G85" s="717">
        <f>ROUND(SUM(C85:F85)/2,0)</f>
        <v>0</v>
      </c>
      <c r="H85" s="717"/>
      <c r="I85" s="717">
        <f t="shared" si="15"/>
        <v>0</v>
      </c>
      <c r="J85" s="717">
        <f t="shared" si="15"/>
        <v>0</v>
      </c>
      <c r="K85" s="717">
        <f t="shared" si="15"/>
        <v>0</v>
      </c>
      <c r="L85" s="717"/>
      <c r="M85" s="709"/>
      <c r="N85" s="709"/>
      <c r="O85" s="709"/>
      <c r="P85" s="717"/>
      <c r="Q85" s="709"/>
      <c r="R85" s="709"/>
      <c r="S85" s="709"/>
    </row>
    <row r="86" spans="1:19" hidden="1">
      <c r="A86" s="731">
        <f t="shared" si="16"/>
        <v>9.1099999999999977</v>
      </c>
      <c r="B86" s="709"/>
      <c r="C86" s="717">
        <f t="shared" si="14"/>
        <v>0</v>
      </c>
      <c r="D86" s="717">
        <f t="shared" si="12"/>
        <v>0</v>
      </c>
      <c r="E86" s="717"/>
      <c r="F86" s="717"/>
      <c r="G86" s="717">
        <f>ROUND(SUM(C86:F86)/2,0)</f>
        <v>0</v>
      </c>
      <c r="H86" s="717"/>
      <c r="I86" s="717">
        <f t="shared" si="15"/>
        <v>0</v>
      </c>
      <c r="J86" s="717">
        <f t="shared" si="15"/>
        <v>0</v>
      </c>
      <c r="K86" s="717">
        <f t="shared" si="15"/>
        <v>0</v>
      </c>
      <c r="L86" s="717"/>
      <c r="M86" s="709"/>
      <c r="N86" s="709"/>
      <c r="O86" s="709"/>
      <c r="P86" s="717"/>
      <c r="Q86" s="709"/>
      <c r="R86" s="709"/>
      <c r="S86" s="709"/>
    </row>
    <row r="87" spans="1:19" hidden="1">
      <c r="A87" s="731">
        <f t="shared" si="16"/>
        <v>9.1199999999999974</v>
      </c>
      <c r="B87" s="709"/>
      <c r="C87" s="717">
        <f t="shared" si="14"/>
        <v>0</v>
      </c>
      <c r="D87" s="717">
        <f t="shared" si="12"/>
        <v>0</v>
      </c>
      <c r="E87" s="717"/>
      <c r="F87" s="717"/>
      <c r="G87" s="717">
        <f t="shared" si="13"/>
        <v>0</v>
      </c>
      <c r="H87" s="717"/>
      <c r="I87" s="717">
        <f t="shared" si="15"/>
        <v>0</v>
      </c>
      <c r="J87" s="717">
        <f t="shared" si="15"/>
        <v>0</v>
      </c>
      <c r="K87" s="717">
        <f t="shared" si="15"/>
        <v>0</v>
      </c>
      <c r="L87" s="717"/>
      <c r="M87" s="709"/>
      <c r="N87" s="709"/>
      <c r="O87" s="709"/>
      <c r="P87" s="717"/>
      <c r="Q87" s="709"/>
      <c r="R87" s="709"/>
      <c r="S87" s="709"/>
    </row>
    <row r="88" spans="1:19" hidden="1">
      <c r="A88" s="731">
        <f t="shared" si="16"/>
        <v>9.1299999999999972</v>
      </c>
      <c r="B88" s="709"/>
      <c r="C88" s="717">
        <f t="shared" si="14"/>
        <v>0</v>
      </c>
      <c r="D88" s="717">
        <f t="shared" si="12"/>
        <v>0</v>
      </c>
      <c r="E88" s="717"/>
      <c r="F88" s="717"/>
      <c r="G88" s="717">
        <f t="shared" si="13"/>
        <v>0</v>
      </c>
      <c r="H88" s="717"/>
      <c r="I88" s="717">
        <f t="shared" si="15"/>
        <v>0</v>
      </c>
      <c r="J88" s="717">
        <f t="shared" si="15"/>
        <v>0</v>
      </c>
      <c r="K88" s="717">
        <f t="shared" si="15"/>
        <v>0</v>
      </c>
      <c r="L88" s="717"/>
      <c r="M88" s="709"/>
      <c r="N88" s="709"/>
      <c r="O88" s="709"/>
      <c r="P88" s="717"/>
      <c r="Q88" s="709"/>
      <c r="R88" s="709"/>
      <c r="S88" s="709"/>
    </row>
    <row r="89" spans="1:19" hidden="1">
      <c r="A89" s="731">
        <f t="shared" si="16"/>
        <v>9.139999999999997</v>
      </c>
      <c r="B89" s="709"/>
      <c r="C89" s="717">
        <f t="shared" si="14"/>
        <v>0</v>
      </c>
      <c r="D89" s="717">
        <f t="shared" si="12"/>
        <v>0</v>
      </c>
      <c r="E89" s="717"/>
      <c r="F89" s="717"/>
      <c r="G89" s="717">
        <f t="shared" si="13"/>
        <v>0</v>
      </c>
      <c r="H89" s="717"/>
      <c r="I89" s="717">
        <f t="shared" si="15"/>
        <v>0</v>
      </c>
      <c r="J89" s="717">
        <f t="shared" si="15"/>
        <v>0</v>
      </c>
      <c r="K89" s="717">
        <f t="shared" si="15"/>
        <v>0</v>
      </c>
      <c r="L89" s="717"/>
      <c r="M89" s="709"/>
      <c r="N89" s="709"/>
      <c r="O89" s="709"/>
      <c r="P89" s="717"/>
      <c r="Q89" s="709"/>
      <c r="R89" s="709"/>
      <c r="S89" s="709"/>
    </row>
    <row r="90" spans="1:19" hidden="1">
      <c r="A90" s="731">
        <f t="shared" si="16"/>
        <v>9.1499999999999968</v>
      </c>
      <c r="B90" s="709"/>
      <c r="C90" s="717">
        <f t="shared" si="14"/>
        <v>0</v>
      </c>
      <c r="D90" s="717">
        <f t="shared" si="12"/>
        <v>0</v>
      </c>
      <c r="E90" s="717"/>
      <c r="F90" s="717"/>
      <c r="G90" s="717">
        <f t="shared" si="13"/>
        <v>0</v>
      </c>
      <c r="H90" s="717"/>
      <c r="I90" s="717">
        <f t="shared" si="15"/>
        <v>0</v>
      </c>
      <c r="J90" s="717">
        <f t="shared" si="15"/>
        <v>0</v>
      </c>
      <c r="K90" s="717">
        <f t="shared" si="15"/>
        <v>0</v>
      </c>
      <c r="L90" s="717"/>
      <c r="M90" s="709"/>
      <c r="N90" s="709"/>
      <c r="O90" s="709"/>
      <c r="P90" s="717"/>
      <c r="Q90" s="709"/>
      <c r="R90" s="709"/>
      <c r="S90" s="709"/>
    </row>
    <row r="91" spans="1:19" hidden="1">
      <c r="A91" s="731">
        <f t="shared" si="16"/>
        <v>9.1599999999999966</v>
      </c>
      <c r="B91" s="709"/>
      <c r="C91" s="717">
        <f t="shared" si="14"/>
        <v>0</v>
      </c>
      <c r="D91" s="717">
        <f t="shared" si="12"/>
        <v>0</v>
      </c>
      <c r="E91" s="717"/>
      <c r="F91" s="717"/>
      <c r="G91" s="717">
        <f t="shared" si="13"/>
        <v>0</v>
      </c>
      <c r="H91" s="717"/>
      <c r="I91" s="717">
        <f t="shared" si="15"/>
        <v>0</v>
      </c>
      <c r="J91" s="717">
        <f t="shared" si="15"/>
        <v>0</v>
      </c>
      <c r="K91" s="717">
        <f t="shared" si="15"/>
        <v>0</v>
      </c>
      <c r="L91" s="717"/>
      <c r="M91" s="709"/>
      <c r="N91" s="709"/>
      <c r="O91" s="709"/>
      <c r="P91" s="717"/>
      <c r="Q91" s="709"/>
      <c r="R91" s="709"/>
      <c r="S91" s="709"/>
    </row>
    <row r="92" spans="1:19" hidden="1">
      <c r="A92" s="731">
        <f t="shared" si="16"/>
        <v>9.1699999999999964</v>
      </c>
      <c r="B92" s="709"/>
      <c r="C92" s="717">
        <f t="shared" si="14"/>
        <v>0</v>
      </c>
      <c r="D92" s="717">
        <f t="shared" si="12"/>
        <v>0</v>
      </c>
      <c r="E92" s="717"/>
      <c r="F92" s="717"/>
      <c r="G92" s="717">
        <f t="shared" si="13"/>
        <v>0</v>
      </c>
      <c r="H92" s="717"/>
      <c r="I92" s="717">
        <f t="shared" si="15"/>
        <v>0</v>
      </c>
      <c r="J92" s="717">
        <f t="shared" si="15"/>
        <v>0</v>
      </c>
      <c r="K92" s="717">
        <f t="shared" si="15"/>
        <v>0</v>
      </c>
      <c r="L92" s="717"/>
      <c r="M92" s="709"/>
      <c r="N92" s="709"/>
      <c r="O92" s="709"/>
      <c r="P92" s="717"/>
      <c r="Q92" s="709"/>
      <c r="R92" s="709"/>
      <c r="S92" s="709"/>
    </row>
    <row r="93" spans="1:19" hidden="1">
      <c r="A93" s="731">
        <f t="shared" si="16"/>
        <v>9.1799999999999962</v>
      </c>
      <c r="B93" s="709"/>
      <c r="C93" s="717">
        <f t="shared" si="14"/>
        <v>0</v>
      </c>
      <c r="D93" s="717">
        <f t="shared" si="12"/>
        <v>0</v>
      </c>
      <c r="E93" s="717"/>
      <c r="F93" s="717"/>
      <c r="G93" s="717">
        <f t="shared" si="13"/>
        <v>0</v>
      </c>
      <c r="H93" s="717"/>
      <c r="I93" s="717">
        <f t="shared" si="15"/>
        <v>0</v>
      </c>
      <c r="J93" s="717">
        <f t="shared" si="15"/>
        <v>0</v>
      </c>
      <c r="K93" s="717">
        <f t="shared" si="15"/>
        <v>0</v>
      </c>
      <c r="L93" s="717"/>
      <c r="M93" s="709"/>
      <c r="N93" s="709"/>
      <c r="O93" s="709"/>
      <c r="P93" s="717"/>
      <c r="Q93" s="709"/>
      <c r="R93" s="709"/>
      <c r="S93" s="709"/>
    </row>
    <row r="94" spans="1:19" hidden="1">
      <c r="A94" s="731">
        <f t="shared" si="16"/>
        <v>9.1899999999999959</v>
      </c>
      <c r="B94" s="709"/>
      <c r="C94" s="717">
        <f t="shared" si="14"/>
        <v>0</v>
      </c>
      <c r="D94" s="717">
        <f t="shared" si="12"/>
        <v>0</v>
      </c>
      <c r="E94" s="717"/>
      <c r="F94" s="717"/>
      <c r="G94" s="717">
        <f t="shared" si="13"/>
        <v>0</v>
      </c>
      <c r="H94" s="717"/>
      <c r="I94" s="717">
        <f t="shared" si="15"/>
        <v>0</v>
      </c>
      <c r="J94" s="717">
        <f t="shared" si="15"/>
        <v>0</v>
      </c>
      <c r="K94" s="717">
        <f t="shared" si="15"/>
        <v>0</v>
      </c>
      <c r="L94" s="717"/>
      <c r="M94" s="709"/>
      <c r="N94" s="709"/>
      <c r="O94" s="709"/>
      <c r="P94" s="717"/>
      <c r="Q94" s="709"/>
      <c r="R94" s="709"/>
      <c r="S94" s="709"/>
    </row>
    <row r="95" spans="1:19" hidden="1">
      <c r="A95" s="731">
        <f t="shared" si="16"/>
        <v>9.1999999999999957</v>
      </c>
      <c r="B95" s="709"/>
      <c r="C95" s="717">
        <f t="shared" si="14"/>
        <v>0</v>
      </c>
      <c r="D95" s="717">
        <f t="shared" si="12"/>
        <v>0</v>
      </c>
      <c r="E95" s="717"/>
      <c r="F95" s="717"/>
      <c r="G95" s="717">
        <f t="shared" si="13"/>
        <v>0</v>
      </c>
      <c r="H95" s="717"/>
      <c r="I95" s="717">
        <f t="shared" si="15"/>
        <v>0</v>
      </c>
      <c r="J95" s="717">
        <f t="shared" si="15"/>
        <v>0</v>
      </c>
      <c r="K95" s="717">
        <f t="shared" si="15"/>
        <v>0</v>
      </c>
      <c r="L95" s="717"/>
      <c r="M95" s="709"/>
      <c r="N95" s="709"/>
      <c r="O95" s="709"/>
      <c r="P95" s="717"/>
      <c r="Q95" s="709"/>
      <c r="R95" s="709"/>
      <c r="S95" s="709"/>
    </row>
    <row r="96" spans="1:19" hidden="1">
      <c r="A96" s="731">
        <f t="shared" si="16"/>
        <v>9.2099999999999955</v>
      </c>
      <c r="B96" s="709"/>
      <c r="C96" s="717">
        <f t="shared" si="14"/>
        <v>0</v>
      </c>
      <c r="D96" s="717">
        <f t="shared" si="12"/>
        <v>0</v>
      </c>
      <c r="E96" s="717"/>
      <c r="F96" s="717"/>
      <c r="G96" s="717">
        <f t="shared" si="13"/>
        <v>0</v>
      </c>
      <c r="H96" s="717"/>
      <c r="I96" s="717">
        <f t="shared" si="15"/>
        <v>0</v>
      </c>
      <c r="J96" s="717">
        <f t="shared" si="15"/>
        <v>0</v>
      </c>
      <c r="K96" s="717">
        <f t="shared" si="15"/>
        <v>0</v>
      </c>
      <c r="L96" s="717"/>
      <c r="M96" s="709"/>
      <c r="N96" s="709"/>
      <c r="O96" s="709"/>
      <c r="P96" s="717"/>
      <c r="Q96" s="709"/>
      <c r="R96" s="709"/>
      <c r="S96" s="709"/>
    </row>
    <row r="97" spans="1:19" hidden="1">
      <c r="A97" s="731">
        <f t="shared" si="16"/>
        <v>9.2199999999999953</v>
      </c>
      <c r="B97" s="709"/>
      <c r="C97" s="717">
        <f t="shared" si="14"/>
        <v>0</v>
      </c>
      <c r="D97" s="717">
        <f t="shared" si="12"/>
        <v>0</v>
      </c>
      <c r="E97" s="717"/>
      <c r="F97" s="717"/>
      <c r="G97" s="717">
        <f t="shared" si="13"/>
        <v>0</v>
      </c>
      <c r="H97" s="717"/>
      <c r="I97" s="717">
        <f t="shared" si="15"/>
        <v>0</v>
      </c>
      <c r="J97" s="717">
        <f t="shared" si="15"/>
        <v>0</v>
      </c>
      <c r="K97" s="717">
        <f t="shared" si="15"/>
        <v>0</v>
      </c>
      <c r="L97" s="717"/>
      <c r="M97" s="709"/>
      <c r="N97" s="709"/>
      <c r="O97" s="709"/>
      <c r="P97" s="717"/>
      <c r="Q97" s="709"/>
      <c r="R97" s="709"/>
      <c r="S97" s="709"/>
    </row>
    <row r="98" spans="1:19" hidden="1">
      <c r="A98" s="731">
        <f t="shared" si="16"/>
        <v>9.2299999999999951</v>
      </c>
      <c r="B98" s="709"/>
      <c r="C98" s="717">
        <f t="shared" si="14"/>
        <v>0</v>
      </c>
      <c r="D98" s="717">
        <f t="shared" si="12"/>
        <v>0</v>
      </c>
      <c r="E98" s="717"/>
      <c r="F98" s="717"/>
      <c r="G98" s="717">
        <f t="shared" si="13"/>
        <v>0</v>
      </c>
      <c r="H98" s="717"/>
      <c r="I98" s="717">
        <f t="shared" si="15"/>
        <v>0</v>
      </c>
      <c r="J98" s="717">
        <f t="shared" si="15"/>
        <v>0</v>
      </c>
      <c r="K98" s="717">
        <f t="shared" si="15"/>
        <v>0</v>
      </c>
      <c r="L98" s="717"/>
      <c r="M98" s="709"/>
      <c r="N98" s="709"/>
      <c r="O98" s="709"/>
      <c r="P98" s="717"/>
      <c r="Q98" s="709"/>
      <c r="R98" s="709"/>
      <c r="S98" s="709"/>
    </row>
    <row r="99" spans="1:19" hidden="1">
      <c r="A99" s="731">
        <f t="shared" si="16"/>
        <v>9.2399999999999949</v>
      </c>
      <c r="B99" s="709"/>
      <c r="C99" s="717">
        <f t="shared" si="14"/>
        <v>0</v>
      </c>
      <c r="D99" s="717">
        <f t="shared" si="12"/>
        <v>0</v>
      </c>
      <c r="E99" s="717"/>
      <c r="F99" s="717"/>
      <c r="G99" s="717">
        <f t="shared" si="13"/>
        <v>0</v>
      </c>
      <c r="H99" s="717"/>
      <c r="I99" s="717">
        <f t="shared" si="15"/>
        <v>0</v>
      </c>
      <c r="J99" s="717">
        <f t="shared" si="15"/>
        <v>0</v>
      </c>
      <c r="K99" s="717">
        <f t="shared" si="15"/>
        <v>0</v>
      </c>
      <c r="L99" s="717"/>
      <c r="M99" s="709"/>
      <c r="N99" s="709"/>
      <c r="O99" s="709"/>
      <c r="P99" s="717"/>
      <c r="Q99" s="709"/>
      <c r="R99" s="709"/>
      <c r="S99" s="709"/>
    </row>
    <row r="100" spans="1:19" hidden="1">
      <c r="A100" s="731">
        <f t="shared" si="16"/>
        <v>9.2499999999999947</v>
      </c>
      <c r="B100" s="709"/>
      <c r="C100" s="717">
        <f t="shared" si="14"/>
        <v>0</v>
      </c>
      <c r="D100" s="717">
        <f t="shared" si="12"/>
        <v>0</v>
      </c>
      <c r="E100" s="717"/>
      <c r="F100" s="717"/>
      <c r="G100" s="717">
        <f>ROUND(SUM(C100:F100)/2,0)</f>
        <v>0</v>
      </c>
      <c r="H100" s="717"/>
      <c r="I100" s="717">
        <f t="shared" si="15"/>
        <v>0</v>
      </c>
      <c r="J100" s="717">
        <f t="shared" si="15"/>
        <v>0</v>
      </c>
      <c r="K100" s="717">
        <f t="shared" si="15"/>
        <v>0</v>
      </c>
      <c r="L100" s="717"/>
      <c r="M100" s="709"/>
      <c r="N100" s="709"/>
      <c r="O100" s="709"/>
      <c r="P100" s="717"/>
      <c r="Q100" s="709"/>
      <c r="R100" s="709"/>
      <c r="S100" s="709"/>
    </row>
    <row r="101" spans="1:19" hidden="1">
      <c r="A101" s="731">
        <f t="shared" si="16"/>
        <v>9.2599999999999945</v>
      </c>
      <c r="B101" s="709"/>
      <c r="C101" s="717">
        <f t="shared" si="14"/>
        <v>0</v>
      </c>
      <c r="D101" s="717">
        <f t="shared" si="12"/>
        <v>0</v>
      </c>
      <c r="E101" s="717"/>
      <c r="F101" s="717"/>
      <c r="G101" s="717">
        <f t="shared" si="13"/>
        <v>0</v>
      </c>
      <c r="H101" s="717"/>
      <c r="I101" s="717">
        <f t="shared" si="15"/>
        <v>0</v>
      </c>
      <c r="J101" s="717">
        <f t="shared" si="15"/>
        <v>0</v>
      </c>
      <c r="K101" s="717">
        <f t="shared" si="15"/>
        <v>0</v>
      </c>
      <c r="L101" s="717"/>
      <c r="M101" s="709"/>
      <c r="N101" s="709"/>
      <c r="O101" s="709"/>
      <c r="P101" s="717"/>
      <c r="Q101" s="709"/>
      <c r="R101" s="709"/>
      <c r="S101" s="709"/>
    </row>
    <row r="102" spans="1:19" hidden="1">
      <c r="A102" s="731">
        <f t="shared" si="16"/>
        <v>9.2699999999999942</v>
      </c>
      <c r="B102" s="709"/>
      <c r="C102" s="717">
        <f t="shared" si="14"/>
        <v>0</v>
      </c>
      <c r="D102" s="717">
        <f t="shared" si="12"/>
        <v>0</v>
      </c>
      <c r="E102" s="717"/>
      <c r="F102" s="717"/>
      <c r="G102" s="717">
        <f t="shared" si="13"/>
        <v>0</v>
      </c>
      <c r="H102" s="717"/>
      <c r="I102" s="717">
        <f t="shared" si="15"/>
        <v>0</v>
      </c>
      <c r="J102" s="717">
        <f t="shared" si="15"/>
        <v>0</v>
      </c>
      <c r="K102" s="717">
        <f t="shared" si="15"/>
        <v>0</v>
      </c>
      <c r="L102" s="717"/>
      <c r="M102" s="709"/>
      <c r="N102" s="709"/>
      <c r="O102" s="709"/>
      <c r="P102" s="717"/>
      <c r="Q102" s="709"/>
      <c r="R102" s="709"/>
      <c r="S102" s="709"/>
    </row>
    <row r="103" spans="1:19" hidden="1">
      <c r="A103" s="731">
        <f t="shared" si="16"/>
        <v>9.279999999999994</v>
      </c>
      <c r="B103" s="709"/>
      <c r="C103" s="717">
        <f t="shared" si="14"/>
        <v>0</v>
      </c>
      <c r="D103" s="717">
        <f t="shared" si="12"/>
        <v>0</v>
      </c>
      <c r="E103" s="717"/>
      <c r="F103" s="717"/>
      <c r="G103" s="717">
        <f>ROUND(SUM(C103:F103)/2,0)</f>
        <v>0</v>
      </c>
      <c r="H103" s="717"/>
      <c r="I103" s="717">
        <f t="shared" si="15"/>
        <v>0</v>
      </c>
      <c r="J103" s="717">
        <f t="shared" si="15"/>
        <v>0</v>
      </c>
      <c r="K103" s="717">
        <f t="shared" si="15"/>
        <v>0</v>
      </c>
      <c r="L103" s="717"/>
      <c r="M103" s="709"/>
      <c r="N103" s="709"/>
      <c r="O103" s="709"/>
      <c r="P103" s="717"/>
      <c r="Q103" s="709"/>
      <c r="R103" s="709"/>
      <c r="S103" s="709"/>
    </row>
    <row r="104" spans="1:19" hidden="1">
      <c r="A104" s="731">
        <f t="shared" si="16"/>
        <v>9.2899999999999938</v>
      </c>
      <c r="B104" s="709"/>
      <c r="C104" s="717">
        <f t="shared" si="14"/>
        <v>0</v>
      </c>
      <c r="D104" s="717">
        <f t="shared" si="12"/>
        <v>0</v>
      </c>
      <c r="E104" s="717"/>
      <c r="F104" s="717"/>
      <c r="G104" s="717">
        <f t="shared" si="13"/>
        <v>0</v>
      </c>
      <c r="H104" s="717"/>
      <c r="I104" s="717">
        <f t="shared" si="15"/>
        <v>0</v>
      </c>
      <c r="J104" s="717">
        <f t="shared" si="15"/>
        <v>0</v>
      </c>
      <c r="K104" s="717">
        <f t="shared" si="15"/>
        <v>0</v>
      </c>
      <c r="L104" s="717"/>
      <c r="M104" s="709"/>
      <c r="N104" s="709"/>
      <c r="O104" s="709"/>
      <c r="P104" s="717"/>
      <c r="Q104" s="709"/>
      <c r="R104" s="709"/>
      <c r="S104" s="709"/>
    </row>
    <row r="105" spans="1:19" hidden="1">
      <c r="A105" s="731">
        <f t="shared" si="16"/>
        <v>9.2999999999999936</v>
      </c>
      <c r="B105" s="709"/>
      <c r="C105" s="717">
        <f t="shared" si="14"/>
        <v>0</v>
      </c>
      <c r="D105" s="717">
        <f t="shared" si="12"/>
        <v>0</v>
      </c>
      <c r="E105" s="717"/>
      <c r="F105" s="717"/>
      <c r="G105" s="717">
        <f t="shared" si="13"/>
        <v>0</v>
      </c>
      <c r="H105" s="717"/>
      <c r="I105" s="717">
        <f t="shared" si="15"/>
        <v>0</v>
      </c>
      <c r="J105" s="717">
        <f t="shared" si="15"/>
        <v>0</v>
      </c>
      <c r="K105" s="717">
        <f t="shared" si="15"/>
        <v>0</v>
      </c>
      <c r="L105" s="717"/>
      <c r="M105" s="709"/>
      <c r="N105" s="709"/>
      <c r="O105" s="709"/>
      <c r="P105" s="717"/>
      <c r="Q105" s="709"/>
      <c r="R105" s="709"/>
      <c r="S105" s="709"/>
    </row>
    <row r="106" spans="1:19" hidden="1">
      <c r="A106" s="731">
        <f t="shared" si="16"/>
        <v>9.3099999999999934</v>
      </c>
      <c r="B106" s="709"/>
      <c r="C106" s="721">
        <f t="shared" si="14"/>
        <v>0</v>
      </c>
      <c r="D106" s="721">
        <f t="shared" si="12"/>
        <v>0</v>
      </c>
      <c r="E106" s="721"/>
      <c r="F106" s="721"/>
      <c r="G106" s="721">
        <f t="shared" si="13"/>
        <v>0</v>
      </c>
      <c r="H106" s="721"/>
      <c r="I106" s="721">
        <f t="shared" si="15"/>
        <v>0</v>
      </c>
      <c r="J106" s="721">
        <f t="shared" si="15"/>
        <v>0</v>
      </c>
      <c r="K106" s="721">
        <f t="shared" si="15"/>
        <v>0</v>
      </c>
      <c r="L106" s="721"/>
      <c r="M106" s="709"/>
      <c r="N106" s="709"/>
      <c r="O106" s="709"/>
      <c r="P106" s="721"/>
      <c r="Q106" s="709"/>
      <c r="R106" s="709"/>
      <c r="S106" s="709"/>
    </row>
    <row r="107" spans="1:19" hidden="1">
      <c r="A107" s="731">
        <f t="shared" si="16"/>
        <v>9.3199999999999932</v>
      </c>
      <c r="B107" s="709"/>
      <c r="C107" s="717">
        <f t="shared" si="14"/>
        <v>0</v>
      </c>
      <c r="D107" s="717">
        <f t="shared" si="12"/>
        <v>0</v>
      </c>
      <c r="E107" s="717"/>
      <c r="F107" s="717"/>
      <c r="G107" s="717">
        <f t="shared" si="13"/>
        <v>0</v>
      </c>
      <c r="H107" s="717"/>
      <c r="I107" s="717">
        <f t="shared" si="15"/>
        <v>0</v>
      </c>
      <c r="J107" s="717">
        <f t="shared" si="15"/>
        <v>0</v>
      </c>
      <c r="K107" s="717">
        <f t="shared" si="15"/>
        <v>0</v>
      </c>
      <c r="L107" s="717"/>
      <c r="M107" s="709"/>
      <c r="N107" s="709"/>
      <c r="O107" s="709"/>
      <c r="P107" s="717"/>
      <c r="Q107" s="709"/>
      <c r="R107" s="709"/>
      <c r="S107" s="709"/>
    </row>
    <row r="108" spans="1:19" hidden="1">
      <c r="A108" s="731">
        <f t="shared" si="16"/>
        <v>9.329999999999993</v>
      </c>
      <c r="B108" s="709"/>
      <c r="C108" s="717">
        <f t="shared" si="14"/>
        <v>0</v>
      </c>
      <c r="D108" s="717">
        <f t="shared" si="12"/>
        <v>0</v>
      </c>
      <c r="E108" s="717"/>
      <c r="F108" s="717"/>
      <c r="G108" s="717">
        <f t="shared" si="13"/>
        <v>0</v>
      </c>
      <c r="H108" s="717"/>
      <c r="I108" s="717">
        <f t="shared" si="15"/>
        <v>0</v>
      </c>
      <c r="J108" s="717">
        <f t="shared" si="15"/>
        <v>0</v>
      </c>
      <c r="K108" s="717">
        <f t="shared" si="15"/>
        <v>0</v>
      </c>
      <c r="L108" s="717"/>
      <c r="M108" s="709"/>
      <c r="N108" s="709"/>
      <c r="O108" s="709"/>
      <c r="P108" s="717"/>
      <c r="Q108" s="709"/>
      <c r="R108" s="709"/>
      <c r="S108" s="709"/>
    </row>
    <row r="109" spans="1:19" hidden="1">
      <c r="A109" s="731">
        <f t="shared" si="16"/>
        <v>9.3399999999999928</v>
      </c>
      <c r="B109" s="709"/>
      <c r="C109" s="717">
        <f t="shared" si="14"/>
        <v>0</v>
      </c>
      <c r="D109" s="717">
        <f t="shared" si="12"/>
        <v>0</v>
      </c>
      <c r="E109" s="717"/>
      <c r="F109" s="717"/>
      <c r="G109" s="717">
        <f t="shared" si="13"/>
        <v>0</v>
      </c>
      <c r="H109" s="717"/>
      <c r="I109" s="717">
        <f t="shared" si="15"/>
        <v>0</v>
      </c>
      <c r="J109" s="717">
        <f t="shared" si="15"/>
        <v>0</v>
      </c>
      <c r="K109" s="717">
        <f t="shared" si="15"/>
        <v>0</v>
      </c>
      <c r="L109" s="717"/>
      <c r="M109" s="709"/>
      <c r="N109" s="709"/>
      <c r="O109" s="709"/>
      <c r="P109" s="717"/>
      <c r="Q109" s="709"/>
      <c r="R109" s="709"/>
      <c r="S109" s="709"/>
    </row>
    <row r="110" spans="1:19" hidden="1">
      <c r="A110" s="731">
        <f t="shared" si="16"/>
        <v>9.3499999999999925</v>
      </c>
      <c r="B110" s="709"/>
      <c r="C110" s="717">
        <f t="shared" si="14"/>
        <v>0</v>
      </c>
      <c r="D110" s="717">
        <f t="shared" si="12"/>
        <v>0</v>
      </c>
      <c r="E110" s="717"/>
      <c r="F110" s="717"/>
      <c r="G110" s="717">
        <f t="shared" si="13"/>
        <v>0</v>
      </c>
      <c r="H110" s="717"/>
      <c r="I110" s="717">
        <f t="shared" si="15"/>
        <v>0</v>
      </c>
      <c r="J110" s="717">
        <f t="shared" si="15"/>
        <v>0</v>
      </c>
      <c r="K110" s="717">
        <f t="shared" si="15"/>
        <v>0</v>
      </c>
      <c r="L110" s="717"/>
      <c r="M110" s="709"/>
      <c r="N110" s="709"/>
      <c r="O110" s="709"/>
      <c r="P110" s="717"/>
      <c r="Q110" s="709"/>
      <c r="R110" s="709"/>
      <c r="S110" s="709"/>
    </row>
    <row r="111" spans="1:19" hidden="1">
      <c r="A111" s="731">
        <f t="shared" si="16"/>
        <v>9.3599999999999923</v>
      </c>
      <c r="B111" s="709"/>
      <c r="C111" s="717">
        <f t="shared" si="14"/>
        <v>0</v>
      </c>
      <c r="D111" s="717">
        <f t="shared" si="12"/>
        <v>0</v>
      </c>
      <c r="E111" s="717"/>
      <c r="F111" s="717"/>
      <c r="G111" s="717">
        <f t="shared" si="13"/>
        <v>0</v>
      </c>
      <c r="H111" s="717"/>
      <c r="I111" s="717">
        <f t="shared" si="15"/>
        <v>0</v>
      </c>
      <c r="J111" s="717">
        <f t="shared" si="15"/>
        <v>0</v>
      </c>
      <c r="K111" s="717">
        <f t="shared" si="15"/>
        <v>0</v>
      </c>
      <c r="L111" s="717"/>
      <c r="M111" s="709"/>
      <c r="N111" s="709"/>
      <c r="O111" s="709"/>
      <c r="P111" s="717"/>
      <c r="Q111" s="709"/>
      <c r="R111" s="709"/>
      <c r="S111" s="709"/>
    </row>
    <row r="112" spans="1:19" hidden="1">
      <c r="A112" s="731">
        <f t="shared" si="16"/>
        <v>9.3699999999999921</v>
      </c>
      <c r="B112" s="709"/>
      <c r="C112" s="717">
        <f t="shared" si="14"/>
        <v>0</v>
      </c>
      <c r="D112" s="717">
        <f t="shared" si="12"/>
        <v>0</v>
      </c>
      <c r="E112" s="717"/>
      <c r="F112" s="717"/>
      <c r="G112" s="717">
        <f t="shared" si="13"/>
        <v>0</v>
      </c>
      <c r="H112" s="717"/>
      <c r="I112" s="717">
        <f t="shared" si="15"/>
        <v>0</v>
      </c>
      <c r="J112" s="717">
        <f t="shared" si="15"/>
        <v>0</v>
      </c>
      <c r="K112" s="717">
        <f t="shared" si="15"/>
        <v>0</v>
      </c>
      <c r="L112" s="717"/>
      <c r="M112" s="709"/>
      <c r="N112" s="709"/>
      <c r="O112" s="709"/>
      <c r="P112" s="717"/>
      <c r="Q112" s="709"/>
      <c r="R112" s="709"/>
      <c r="S112" s="709"/>
    </row>
    <row r="113" spans="1:19" hidden="1">
      <c r="A113" s="731">
        <f t="shared" si="16"/>
        <v>9.3799999999999919</v>
      </c>
      <c r="B113" s="709"/>
      <c r="C113" s="717">
        <f t="shared" si="14"/>
        <v>0</v>
      </c>
      <c r="D113" s="717">
        <f t="shared" si="12"/>
        <v>0</v>
      </c>
      <c r="E113" s="717"/>
      <c r="F113" s="717"/>
      <c r="G113" s="717">
        <f t="shared" si="13"/>
        <v>0</v>
      </c>
      <c r="H113" s="717"/>
      <c r="I113" s="717">
        <f t="shared" si="15"/>
        <v>0</v>
      </c>
      <c r="J113" s="717">
        <f t="shared" si="15"/>
        <v>0</v>
      </c>
      <c r="K113" s="717">
        <f t="shared" si="15"/>
        <v>0</v>
      </c>
      <c r="L113" s="717"/>
      <c r="M113" s="709"/>
      <c r="N113" s="709"/>
      <c r="O113" s="709"/>
      <c r="P113" s="717"/>
      <c r="Q113" s="709"/>
      <c r="R113" s="709"/>
      <c r="S113" s="709"/>
    </row>
    <row r="114" spans="1:19" hidden="1">
      <c r="A114" s="731">
        <f t="shared" si="16"/>
        <v>9.3899999999999917</v>
      </c>
      <c r="B114" s="709"/>
      <c r="C114" s="717">
        <f t="shared" si="14"/>
        <v>0</v>
      </c>
      <c r="D114" s="717">
        <f t="shared" si="12"/>
        <v>0</v>
      </c>
      <c r="E114" s="717"/>
      <c r="F114" s="717"/>
      <c r="G114" s="717">
        <f t="shared" si="13"/>
        <v>0</v>
      </c>
      <c r="H114" s="717"/>
      <c r="I114" s="717">
        <f t="shared" si="15"/>
        <v>0</v>
      </c>
      <c r="J114" s="717">
        <f t="shared" si="15"/>
        <v>0</v>
      </c>
      <c r="K114" s="717">
        <f t="shared" si="15"/>
        <v>0</v>
      </c>
      <c r="L114" s="717"/>
      <c r="M114" s="709"/>
      <c r="N114" s="709"/>
      <c r="O114" s="709"/>
      <c r="P114" s="717"/>
      <c r="Q114" s="709"/>
      <c r="R114" s="709"/>
      <c r="S114" s="709"/>
    </row>
    <row r="115" spans="1:19" hidden="1">
      <c r="A115" s="731">
        <f t="shared" si="16"/>
        <v>9.3999999999999915</v>
      </c>
      <c r="B115" s="709"/>
      <c r="C115" s="717">
        <f t="shared" si="14"/>
        <v>0</v>
      </c>
      <c r="D115" s="717">
        <f t="shared" si="12"/>
        <v>0</v>
      </c>
      <c r="E115" s="717"/>
      <c r="F115" s="717"/>
      <c r="G115" s="717">
        <f t="shared" si="13"/>
        <v>0</v>
      </c>
      <c r="H115" s="717"/>
      <c r="I115" s="717">
        <f t="shared" si="15"/>
        <v>0</v>
      </c>
      <c r="J115" s="717">
        <f t="shared" si="15"/>
        <v>0</v>
      </c>
      <c r="K115" s="717">
        <f t="shared" si="15"/>
        <v>0</v>
      </c>
      <c r="L115" s="717"/>
      <c r="M115" s="709"/>
      <c r="N115" s="709"/>
      <c r="O115" s="709"/>
      <c r="P115" s="717"/>
      <c r="Q115" s="709"/>
      <c r="R115" s="709"/>
      <c r="S115" s="709"/>
    </row>
    <row r="116" spans="1:19" hidden="1">
      <c r="A116" s="731">
        <f t="shared" si="16"/>
        <v>9.4099999999999913</v>
      </c>
      <c r="B116" s="709"/>
      <c r="C116" s="717">
        <f t="shared" si="14"/>
        <v>0</v>
      </c>
      <c r="D116" s="717">
        <f t="shared" si="12"/>
        <v>0</v>
      </c>
      <c r="E116" s="717"/>
      <c r="F116" s="717"/>
      <c r="G116" s="717">
        <f t="shared" si="13"/>
        <v>0</v>
      </c>
      <c r="H116" s="717"/>
      <c r="I116" s="717">
        <f t="shared" si="15"/>
        <v>0</v>
      </c>
      <c r="J116" s="717">
        <f t="shared" si="15"/>
        <v>0</v>
      </c>
      <c r="K116" s="717">
        <f t="shared" si="15"/>
        <v>0</v>
      </c>
      <c r="L116" s="717"/>
      <c r="M116" s="709"/>
      <c r="N116" s="709"/>
      <c r="O116" s="709"/>
      <c r="P116" s="717"/>
      <c r="Q116" s="709"/>
      <c r="R116" s="709"/>
      <c r="S116" s="709"/>
    </row>
    <row r="117" spans="1:19" hidden="1">
      <c r="A117" s="731">
        <f t="shared" si="16"/>
        <v>9.419999999999991</v>
      </c>
      <c r="B117" s="709"/>
      <c r="C117" s="717">
        <f t="shared" si="14"/>
        <v>0</v>
      </c>
      <c r="D117" s="717">
        <f t="shared" si="12"/>
        <v>0</v>
      </c>
      <c r="E117" s="717"/>
      <c r="F117" s="717"/>
      <c r="G117" s="717">
        <f t="shared" si="13"/>
        <v>0</v>
      </c>
      <c r="H117" s="717"/>
      <c r="I117" s="717">
        <f t="shared" si="15"/>
        <v>0</v>
      </c>
      <c r="J117" s="717">
        <f t="shared" si="15"/>
        <v>0</v>
      </c>
      <c r="K117" s="717">
        <f t="shared" si="15"/>
        <v>0</v>
      </c>
      <c r="L117" s="717"/>
      <c r="M117" s="709"/>
      <c r="N117" s="709"/>
      <c r="O117" s="709"/>
      <c r="P117" s="717"/>
      <c r="Q117" s="709"/>
      <c r="R117" s="709"/>
      <c r="S117" s="709"/>
    </row>
    <row r="118" spans="1:19" hidden="1">
      <c r="A118" s="731">
        <f t="shared" si="16"/>
        <v>9.4299999999999908</v>
      </c>
      <c r="B118" s="709"/>
      <c r="C118" s="717">
        <f t="shared" si="14"/>
        <v>0</v>
      </c>
      <c r="D118" s="717">
        <f t="shared" si="12"/>
        <v>0</v>
      </c>
      <c r="E118" s="717"/>
      <c r="F118" s="717"/>
      <c r="G118" s="717">
        <f t="shared" si="13"/>
        <v>0</v>
      </c>
      <c r="H118" s="717"/>
      <c r="I118" s="717">
        <f t="shared" si="15"/>
        <v>0</v>
      </c>
      <c r="J118" s="717">
        <f t="shared" si="15"/>
        <v>0</v>
      </c>
      <c r="K118" s="717">
        <f t="shared" si="15"/>
        <v>0</v>
      </c>
      <c r="L118" s="717"/>
      <c r="M118" s="709"/>
      <c r="N118" s="709"/>
      <c r="O118" s="709"/>
      <c r="P118" s="717"/>
      <c r="Q118" s="709"/>
      <c r="R118" s="709"/>
      <c r="S118" s="709"/>
    </row>
    <row r="119" spans="1:19" hidden="1">
      <c r="A119" s="731">
        <f t="shared" si="16"/>
        <v>9.4399999999999906</v>
      </c>
      <c r="B119" s="709"/>
      <c r="C119" s="717">
        <f t="shared" si="14"/>
        <v>0</v>
      </c>
      <c r="D119" s="717">
        <f t="shared" si="12"/>
        <v>0</v>
      </c>
      <c r="E119" s="717"/>
      <c r="F119" s="717"/>
      <c r="G119" s="717">
        <f t="shared" si="13"/>
        <v>0</v>
      </c>
      <c r="H119" s="717"/>
      <c r="I119" s="717">
        <f t="shared" si="15"/>
        <v>0</v>
      </c>
      <c r="J119" s="717">
        <f t="shared" si="15"/>
        <v>0</v>
      </c>
      <c r="K119" s="717">
        <f t="shared" si="15"/>
        <v>0</v>
      </c>
      <c r="L119" s="717"/>
      <c r="M119" s="709"/>
      <c r="N119" s="709"/>
      <c r="O119" s="709"/>
      <c r="P119" s="717"/>
      <c r="Q119" s="709"/>
      <c r="R119" s="709"/>
      <c r="S119" s="709"/>
    </row>
    <row r="120" spans="1:19" hidden="1">
      <c r="A120" s="731">
        <f t="shared" si="16"/>
        <v>9.4499999999999904</v>
      </c>
      <c r="B120" s="709"/>
      <c r="C120" s="717">
        <f t="shared" si="14"/>
        <v>0</v>
      </c>
      <c r="D120" s="717">
        <f t="shared" si="12"/>
        <v>0</v>
      </c>
      <c r="E120" s="717"/>
      <c r="F120" s="717"/>
      <c r="G120" s="717">
        <f t="shared" si="13"/>
        <v>0</v>
      </c>
      <c r="H120" s="717"/>
      <c r="I120" s="717">
        <f t="shared" si="15"/>
        <v>0</v>
      </c>
      <c r="J120" s="717">
        <f t="shared" si="15"/>
        <v>0</v>
      </c>
      <c r="K120" s="717">
        <f t="shared" si="15"/>
        <v>0</v>
      </c>
      <c r="L120" s="717"/>
      <c r="M120" s="709"/>
      <c r="N120" s="709"/>
      <c r="O120" s="709"/>
      <c r="P120" s="717"/>
      <c r="Q120" s="709"/>
      <c r="R120" s="709"/>
      <c r="S120" s="709"/>
    </row>
    <row r="121" spans="1:19" hidden="1">
      <c r="A121" s="731">
        <f t="shared" si="16"/>
        <v>9.4599999999999902</v>
      </c>
      <c r="B121" s="709"/>
      <c r="C121" s="717">
        <f t="shared" si="14"/>
        <v>0</v>
      </c>
      <c r="D121" s="717">
        <f t="shared" si="12"/>
        <v>0</v>
      </c>
      <c r="E121" s="717"/>
      <c r="F121" s="717"/>
      <c r="G121" s="717">
        <f t="shared" si="13"/>
        <v>0</v>
      </c>
      <c r="H121" s="717"/>
      <c r="I121" s="717">
        <f t="shared" si="15"/>
        <v>0</v>
      </c>
      <c r="J121" s="717">
        <f t="shared" si="15"/>
        <v>0</v>
      </c>
      <c r="K121" s="717">
        <f t="shared" si="15"/>
        <v>0</v>
      </c>
      <c r="L121" s="717"/>
      <c r="M121" s="709"/>
      <c r="N121" s="709"/>
      <c r="O121" s="709"/>
      <c r="P121" s="717"/>
      <c r="Q121" s="709"/>
      <c r="R121" s="709"/>
      <c r="S121" s="709"/>
    </row>
    <row r="122" spans="1:19" hidden="1">
      <c r="A122" s="731">
        <f t="shared" si="16"/>
        <v>9.46999999999999</v>
      </c>
      <c r="B122" s="709"/>
      <c r="C122" s="717">
        <f t="shared" si="14"/>
        <v>0</v>
      </c>
      <c r="D122" s="717">
        <f t="shared" si="12"/>
        <v>0</v>
      </c>
      <c r="E122" s="717"/>
      <c r="F122" s="717"/>
      <c r="G122" s="717">
        <f t="shared" si="13"/>
        <v>0</v>
      </c>
      <c r="H122" s="717"/>
      <c r="I122" s="717">
        <f t="shared" si="15"/>
        <v>0</v>
      </c>
      <c r="J122" s="717">
        <f t="shared" si="15"/>
        <v>0</v>
      </c>
      <c r="K122" s="717">
        <f t="shared" si="15"/>
        <v>0</v>
      </c>
      <c r="L122" s="717"/>
      <c r="M122" s="709"/>
      <c r="N122" s="709"/>
      <c r="O122" s="709"/>
      <c r="P122" s="717"/>
      <c r="Q122" s="709"/>
      <c r="R122" s="709"/>
      <c r="S122" s="709"/>
    </row>
    <row r="123" spans="1:19" hidden="1">
      <c r="A123" s="731">
        <f t="shared" si="16"/>
        <v>9.4799999999999898</v>
      </c>
      <c r="B123" s="709"/>
      <c r="C123" s="717">
        <f t="shared" si="14"/>
        <v>0</v>
      </c>
      <c r="D123" s="717">
        <f t="shared" si="12"/>
        <v>0</v>
      </c>
      <c r="E123" s="717"/>
      <c r="F123" s="717"/>
      <c r="G123" s="717">
        <f t="shared" si="13"/>
        <v>0</v>
      </c>
      <c r="H123" s="717"/>
      <c r="I123" s="717">
        <f t="shared" si="15"/>
        <v>0</v>
      </c>
      <c r="J123" s="717">
        <f t="shared" si="15"/>
        <v>0</v>
      </c>
      <c r="K123" s="717">
        <f t="shared" si="15"/>
        <v>0</v>
      </c>
      <c r="L123" s="717"/>
      <c r="M123" s="709"/>
      <c r="N123" s="709"/>
      <c r="O123" s="709"/>
      <c r="P123" s="717"/>
      <c r="Q123" s="709"/>
      <c r="R123" s="709"/>
      <c r="S123" s="709"/>
    </row>
    <row r="124" spans="1:19" hidden="1">
      <c r="A124" s="731">
        <f t="shared" si="16"/>
        <v>9.4899999999999896</v>
      </c>
      <c r="B124" s="709"/>
      <c r="C124" s="717">
        <f t="shared" si="14"/>
        <v>0</v>
      </c>
      <c r="D124" s="717">
        <f t="shared" si="12"/>
        <v>0</v>
      </c>
      <c r="E124" s="717"/>
      <c r="F124" s="717"/>
      <c r="G124" s="717">
        <f t="shared" si="13"/>
        <v>0</v>
      </c>
      <c r="H124" s="717"/>
      <c r="I124" s="717">
        <f t="shared" si="15"/>
        <v>0</v>
      </c>
      <c r="J124" s="717">
        <f t="shared" si="15"/>
        <v>0</v>
      </c>
      <c r="K124" s="717">
        <f t="shared" si="15"/>
        <v>0</v>
      </c>
      <c r="L124" s="717"/>
      <c r="M124" s="709"/>
      <c r="N124" s="709"/>
      <c r="O124" s="709"/>
      <c r="P124" s="717"/>
      <c r="Q124" s="709"/>
      <c r="R124" s="709"/>
      <c r="S124" s="709"/>
    </row>
    <row r="125" spans="1:19" hidden="1">
      <c r="A125" s="731">
        <f t="shared" si="16"/>
        <v>9.4999999999999893</v>
      </c>
      <c r="B125" s="709"/>
      <c r="C125" s="717">
        <f t="shared" si="14"/>
        <v>0</v>
      </c>
      <c r="D125" s="717">
        <f t="shared" si="12"/>
        <v>0</v>
      </c>
      <c r="E125" s="717"/>
      <c r="F125" s="717"/>
      <c r="G125" s="717">
        <f t="shared" si="13"/>
        <v>0</v>
      </c>
      <c r="H125" s="717"/>
      <c r="I125" s="717">
        <f t="shared" si="15"/>
        <v>0</v>
      </c>
      <c r="J125" s="717">
        <f t="shared" si="15"/>
        <v>0</v>
      </c>
      <c r="K125" s="717">
        <f t="shared" si="15"/>
        <v>0</v>
      </c>
      <c r="L125" s="717"/>
      <c r="M125" s="709"/>
      <c r="N125" s="709"/>
      <c r="O125" s="709"/>
      <c r="P125" s="717"/>
      <c r="Q125" s="709"/>
      <c r="R125" s="709"/>
      <c r="S125" s="709"/>
    </row>
    <row r="126" spans="1:19" hidden="1">
      <c r="A126" s="731">
        <f t="shared" si="16"/>
        <v>9.5099999999999891</v>
      </c>
      <c r="B126" s="709"/>
      <c r="C126" s="717">
        <f t="shared" si="14"/>
        <v>0</v>
      </c>
      <c r="D126" s="717">
        <f t="shared" si="12"/>
        <v>0</v>
      </c>
      <c r="E126" s="717"/>
      <c r="F126" s="717"/>
      <c r="G126" s="717">
        <f t="shared" si="13"/>
        <v>0</v>
      </c>
      <c r="H126" s="717"/>
      <c r="I126" s="717">
        <f t="shared" si="15"/>
        <v>0</v>
      </c>
      <c r="J126" s="717">
        <f t="shared" si="15"/>
        <v>0</v>
      </c>
      <c r="K126" s="717">
        <f t="shared" si="15"/>
        <v>0</v>
      </c>
      <c r="L126" s="717"/>
      <c r="M126" s="709"/>
      <c r="N126" s="709"/>
      <c r="O126" s="709"/>
      <c r="P126" s="717"/>
      <c r="Q126" s="709"/>
      <c r="R126" s="709"/>
      <c r="S126" s="709"/>
    </row>
    <row r="127" spans="1:19" hidden="1">
      <c r="A127" s="731">
        <f t="shared" si="16"/>
        <v>9.5199999999999889</v>
      </c>
      <c r="B127" s="709"/>
      <c r="C127" s="717">
        <f t="shared" si="14"/>
        <v>0</v>
      </c>
      <c r="D127" s="717">
        <f t="shared" si="12"/>
        <v>0</v>
      </c>
      <c r="E127" s="717"/>
      <c r="F127" s="717"/>
      <c r="G127" s="717">
        <f t="shared" si="13"/>
        <v>0</v>
      </c>
      <c r="H127" s="717"/>
      <c r="I127" s="717">
        <f t="shared" si="15"/>
        <v>0</v>
      </c>
      <c r="J127" s="717">
        <f t="shared" si="15"/>
        <v>0</v>
      </c>
      <c r="K127" s="717">
        <f t="shared" si="15"/>
        <v>0</v>
      </c>
      <c r="L127" s="717"/>
      <c r="M127" s="709"/>
      <c r="N127" s="709"/>
      <c r="O127" s="709"/>
      <c r="P127" s="717"/>
      <c r="Q127" s="709"/>
      <c r="R127" s="709"/>
      <c r="S127" s="709"/>
    </row>
    <row r="128" spans="1:19" hidden="1">
      <c r="A128" s="731">
        <f t="shared" si="16"/>
        <v>9.5299999999999887</v>
      </c>
      <c r="B128" s="709"/>
      <c r="C128" s="717">
        <f t="shared" si="14"/>
        <v>0</v>
      </c>
      <c r="D128" s="717">
        <f t="shared" si="12"/>
        <v>0</v>
      </c>
      <c r="E128" s="717"/>
      <c r="F128" s="717"/>
      <c r="G128" s="717">
        <f t="shared" si="13"/>
        <v>0</v>
      </c>
      <c r="H128" s="717"/>
      <c r="I128" s="717">
        <f t="shared" si="15"/>
        <v>0</v>
      </c>
      <c r="J128" s="717">
        <f t="shared" si="15"/>
        <v>0</v>
      </c>
      <c r="K128" s="717">
        <f t="shared" si="15"/>
        <v>0</v>
      </c>
      <c r="L128" s="717"/>
      <c r="M128" s="709"/>
      <c r="N128" s="709"/>
      <c r="O128" s="709"/>
      <c r="P128" s="717"/>
      <c r="Q128" s="709"/>
      <c r="R128" s="709"/>
      <c r="S128" s="709"/>
    </row>
    <row r="129" spans="1:19" hidden="1">
      <c r="A129" s="731">
        <f t="shared" si="16"/>
        <v>9.5399999999999885</v>
      </c>
      <c r="B129" s="709"/>
      <c r="C129" s="717">
        <f t="shared" si="14"/>
        <v>0</v>
      </c>
      <c r="D129" s="717">
        <f t="shared" si="12"/>
        <v>0</v>
      </c>
      <c r="E129" s="717"/>
      <c r="F129" s="717"/>
      <c r="G129" s="717">
        <f t="shared" si="13"/>
        <v>0</v>
      </c>
      <c r="H129" s="717"/>
      <c r="I129" s="717">
        <f t="shared" si="15"/>
        <v>0</v>
      </c>
      <c r="J129" s="717">
        <f t="shared" si="15"/>
        <v>0</v>
      </c>
      <c r="K129" s="717">
        <f t="shared" si="15"/>
        <v>0</v>
      </c>
      <c r="L129" s="717"/>
      <c r="M129" s="709"/>
      <c r="N129" s="709"/>
      <c r="O129" s="709"/>
      <c r="P129" s="717"/>
      <c r="Q129" s="709"/>
      <c r="R129" s="709"/>
      <c r="S129" s="709"/>
    </row>
    <row r="130" spans="1:19" hidden="1">
      <c r="A130" s="731">
        <f t="shared" si="16"/>
        <v>9.5499999999999883</v>
      </c>
      <c r="B130" s="709"/>
      <c r="C130" s="717">
        <f t="shared" si="14"/>
        <v>0</v>
      </c>
      <c r="D130" s="717">
        <f t="shared" si="12"/>
        <v>0</v>
      </c>
      <c r="E130" s="717"/>
      <c r="F130" s="717"/>
      <c r="G130" s="717">
        <f t="shared" si="13"/>
        <v>0</v>
      </c>
      <c r="H130" s="717"/>
      <c r="I130" s="717">
        <f t="shared" si="15"/>
        <v>0</v>
      </c>
      <c r="J130" s="717">
        <f t="shared" si="15"/>
        <v>0</v>
      </c>
      <c r="K130" s="717">
        <f t="shared" si="15"/>
        <v>0</v>
      </c>
      <c r="L130" s="717"/>
      <c r="M130" s="709"/>
      <c r="N130" s="709"/>
      <c r="O130" s="709"/>
      <c r="P130" s="717"/>
      <c r="Q130" s="709"/>
      <c r="R130" s="709"/>
      <c r="S130" s="709"/>
    </row>
    <row r="131" spans="1:19" hidden="1">
      <c r="A131" s="731">
        <f t="shared" si="16"/>
        <v>9.5599999999999881</v>
      </c>
      <c r="B131" s="709"/>
      <c r="C131" s="717">
        <f t="shared" si="14"/>
        <v>0</v>
      </c>
      <c r="D131" s="717">
        <f t="shared" si="12"/>
        <v>0</v>
      </c>
      <c r="E131" s="717"/>
      <c r="F131" s="717"/>
      <c r="G131" s="717">
        <f>ROUND(SUM(C131:F131)/2,0)</f>
        <v>0</v>
      </c>
      <c r="H131" s="717"/>
      <c r="I131" s="717">
        <f t="shared" si="15"/>
        <v>0</v>
      </c>
      <c r="J131" s="717">
        <f t="shared" si="15"/>
        <v>0</v>
      </c>
      <c r="K131" s="717">
        <f t="shared" si="15"/>
        <v>0</v>
      </c>
      <c r="L131" s="717"/>
      <c r="M131" s="709"/>
      <c r="N131" s="709"/>
      <c r="O131" s="709"/>
      <c r="P131" s="717"/>
      <c r="Q131" s="709"/>
      <c r="R131" s="709"/>
      <c r="S131" s="709"/>
    </row>
    <row r="132" spans="1:19" hidden="1">
      <c r="A132" s="731">
        <f t="shared" si="16"/>
        <v>9.5699999999999878</v>
      </c>
      <c r="B132" s="709"/>
      <c r="C132" s="717">
        <f t="shared" si="14"/>
        <v>0</v>
      </c>
      <c r="D132" s="717">
        <f t="shared" si="12"/>
        <v>0</v>
      </c>
      <c r="E132" s="717"/>
      <c r="F132" s="717"/>
      <c r="G132" s="717">
        <f>ROUND(SUM(C132:F132)/2,0)</f>
        <v>0</v>
      </c>
      <c r="H132" s="717"/>
      <c r="I132" s="717">
        <f t="shared" si="15"/>
        <v>0</v>
      </c>
      <c r="J132" s="717">
        <f t="shared" si="15"/>
        <v>0</v>
      </c>
      <c r="K132" s="717">
        <f t="shared" si="15"/>
        <v>0</v>
      </c>
      <c r="L132" s="717"/>
      <c r="M132" s="709"/>
      <c r="N132" s="709"/>
      <c r="O132" s="709"/>
      <c r="P132" s="717"/>
      <c r="Q132" s="709"/>
      <c r="R132" s="709"/>
      <c r="S132" s="709"/>
    </row>
    <row r="133" spans="1:19" hidden="1">
      <c r="A133" s="731">
        <f t="shared" si="16"/>
        <v>9.5799999999999876</v>
      </c>
      <c r="B133" s="709"/>
      <c r="C133" s="717">
        <f t="shared" si="14"/>
        <v>0</v>
      </c>
      <c r="D133" s="717">
        <f t="shared" si="12"/>
        <v>0</v>
      </c>
      <c r="E133" s="717"/>
      <c r="F133" s="717"/>
      <c r="G133" s="717">
        <f>ROUND(SUM(C133:F133)/2,0)</f>
        <v>0</v>
      </c>
      <c r="H133" s="717"/>
      <c r="I133" s="717">
        <f t="shared" si="15"/>
        <v>0</v>
      </c>
      <c r="J133" s="717">
        <f t="shared" si="15"/>
        <v>0</v>
      </c>
      <c r="K133" s="717">
        <f t="shared" si="15"/>
        <v>0</v>
      </c>
      <c r="L133" s="717"/>
      <c r="M133" s="709"/>
      <c r="N133" s="709"/>
      <c r="O133" s="709"/>
      <c r="P133" s="717"/>
      <c r="Q133" s="709"/>
      <c r="R133" s="709"/>
      <c r="S133" s="709"/>
    </row>
    <row r="134" spans="1:19" hidden="1">
      <c r="A134" s="731">
        <f t="shared" si="16"/>
        <v>9.5899999999999874</v>
      </c>
      <c r="B134" s="709"/>
      <c r="C134" s="717">
        <f t="shared" si="14"/>
        <v>0</v>
      </c>
      <c r="D134" s="717">
        <f t="shared" si="12"/>
        <v>0</v>
      </c>
      <c r="E134" s="717"/>
      <c r="F134" s="717"/>
      <c r="G134" s="717">
        <f t="shared" ref="G134:G174" si="17">ROUND(SUM(C134:F134)/2,0)</f>
        <v>0</v>
      </c>
      <c r="H134" s="717"/>
      <c r="I134" s="717">
        <f t="shared" si="15"/>
        <v>0</v>
      </c>
      <c r="J134" s="717">
        <f t="shared" si="15"/>
        <v>0</v>
      </c>
      <c r="K134" s="717">
        <f t="shared" si="15"/>
        <v>0</v>
      </c>
      <c r="L134" s="717"/>
      <c r="M134" s="709"/>
      <c r="N134" s="709"/>
      <c r="O134" s="709"/>
      <c r="P134" s="717"/>
      <c r="Q134" s="709"/>
      <c r="R134" s="709"/>
      <c r="S134" s="709"/>
    </row>
    <row r="135" spans="1:19" hidden="1">
      <c r="A135" s="731">
        <f t="shared" si="16"/>
        <v>9.5999999999999872</v>
      </c>
      <c r="B135" s="709"/>
      <c r="C135" s="717">
        <f t="shared" si="14"/>
        <v>0</v>
      </c>
      <c r="D135" s="717">
        <f t="shared" si="12"/>
        <v>0</v>
      </c>
      <c r="E135" s="717"/>
      <c r="F135" s="717"/>
      <c r="G135" s="717">
        <f t="shared" si="17"/>
        <v>0</v>
      </c>
      <c r="H135" s="717"/>
      <c r="I135" s="717">
        <f t="shared" si="15"/>
        <v>0</v>
      </c>
      <c r="J135" s="717">
        <f t="shared" si="15"/>
        <v>0</v>
      </c>
      <c r="K135" s="717">
        <f t="shared" si="15"/>
        <v>0</v>
      </c>
      <c r="L135" s="717"/>
      <c r="M135" s="709"/>
      <c r="N135" s="709"/>
      <c r="O135" s="709"/>
      <c r="P135" s="717"/>
      <c r="Q135" s="709"/>
      <c r="R135" s="709"/>
      <c r="S135" s="709"/>
    </row>
    <row r="136" spans="1:19" hidden="1">
      <c r="A136" s="731">
        <f t="shared" si="16"/>
        <v>9.609999999999987</v>
      </c>
      <c r="B136" s="709"/>
      <c r="C136" s="717">
        <f t="shared" si="14"/>
        <v>0</v>
      </c>
      <c r="D136" s="717">
        <f t="shared" si="12"/>
        <v>0</v>
      </c>
      <c r="E136" s="717"/>
      <c r="F136" s="717"/>
      <c r="G136" s="717">
        <f t="shared" si="17"/>
        <v>0</v>
      </c>
      <c r="H136" s="717"/>
      <c r="I136" s="717">
        <f t="shared" si="15"/>
        <v>0</v>
      </c>
      <c r="J136" s="717">
        <f t="shared" si="15"/>
        <v>0</v>
      </c>
      <c r="K136" s="717">
        <f t="shared" si="15"/>
        <v>0</v>
      </c>
      <c r="L136" s="717"/>
      <c r="M136" s="709"/>
      <c r="N136" s="709"/>
      <c r="O136" s="709"/>
      <c r="P136" s="717"/>
      <c r="Q136" s="709"/>
      <c r="R136" s="709"/>
      <c r="S136" s="709"/>
    </row>
    <row r="137" spans="1:19" hidden="1">
      <c r="A137" s="731">
        <f t="shared" si="16"/>
        <v>9.6199999999999868</v>
      </c>
      <c r="B137" s="709"/>
      <c r="C137" s="717">
        <f t="shared" si="14"/>
        <v>0</v>
      </c>
      <c r="D137" s="717">
        <f t="shared" si="12"/>
        <v>0</v>
      </c>
      <c r="E137" s="717"/>
      <c r="F137" s="717"/>
      <c r="G137" s="717">
        <f t="shared" si="17"/>
        <v>0</v>
      </c>
      <c r="H137" s="717"/>
      <c r="I137" s="717">
        <f t="shared" ref="I137:K157" si="18">(M137+Q137)/2</f>
        <v>0</v>
      </c>
      <c r="J137" s="717">
        <f t="shared" si="18"/>
        <v>0</v>
      </c>
      <c r="K137" s="717">
        <f t="shared" si="18"/>
        <v>0</v>
      </c>
      <c r="L137" s="717"/>
      <c r="M137" s="709"/>
      <c r="N137" s="709"/>
      <c r="O137" s="709"/>
      <c r="P137" s="717"/>
      <c r="Q137" s="709"/>
      <c r="R137" s="709"/>
      <c r="S137" s="709"/>
    </row>
    <row r="138" spans="1:19" hidden="1">
      <c r="A138" s="731">
        <f t="shared" si="16"/>
        <v>9.6299999999999866</v>
      </c>
      <c r="B138" s="709"/>
      <c r="C138" s="717">
        <f t="shared" si="14"/>
        <v>0</v>
      </c>
      <c r="D138" s="717">
        <f t="shared" si="12"/>
        <v>0</v>
      </c>
      <c r="E138" s="717"/>
      <c r="F138" s="717"/>
      <c r="G138" s="717">
        <f t="shared" si="17"/>
        <v>0</v>
      </c>
      <c r="H138" s="717"/>
      <c r="I138" s="717">
        <f t="shared" si="18"/>
        <v>0</v>
      </c>
      <c r="J138" s="717">
        <f t="shared" si="18"/>
        <v>0</v>
      </c>
      <c r="K138" s="717">
        <f t="shared" si="18"/>
        <v>0</v>
      </c>
      <c r="L138" s="717"/>
      <c r="M138" s="709"/>
      <c r="N138" s="709"/>
      <c r="O138" s="709"/>
      <c r="P138" s="717"/>
      <c r="Q138" s="709"/>
      <c r="R138" s="709"/>
      <c r="S138" s="709"/>
    </row>
    <row r="139" spans="1:19" hidden="1">
      <c r="A139" s="731">
        <f t="shared" si="16"/>
        <v>9.6399999999999864</v>
      </c>
      <c r="B139" s="709"/>
      <c r="C139" s="721">
        <f t="shared" si="14"/>
        <v>0</v>
      </c>
      <c r="D139" s="721">
        <f t="shared" si="12"/>
        <v>0</v>
      </c>
      <c r="E139" s="721"/>
      <c r="F139" s="721"/>
      <c r="G139" s="721">
        <f t="shared" si="17"/>
        <v>0</v>
      </c>
      <c r="H139" s="721"/>
      <c r="I139" s="721">
        <f t="shared" si="18"/>
        <v>0</v>
      </c>
      <c r="J139" s="721">
        <f t="shared" si="18"/>
        <v>0</v>
      </c>
      <c r="K139" s="721">
        <f t="shared" si="18"/>
        <v>0</v>
      </c>
      <c r="L139" s="721"/>
      <c r="M139" s="709"/>
      <c r="N139" s="709"/>
      <c r="O139" s="709"/>
      <c r="P139" s="721"/>
      <c r="Q139" s="709"/>
      <c r="R139" s="709"/>
      <c r="S139" s="709"/>
    </row>
    <row r="140" spans="1:19" hidden="1">
      <c r="A140" s="731">
        <f>A139+0.01</f>
        <v>9.6499999999999861</v>
      </c>
      <c r="B140" s="709"/>
      <c r="C140" s="717">
        <f t="shared" si="14"/>
        <v>0</v>
      </c>
      <c r="D140" s="717">
        <f t="shared" ref="D140:D168" si="19">SUM(Q140:S140)</f>
        <v>0</v>
      </c>
      <c r="E140" s="717"/>
      <c r="F140" s="717"/>
      <c r="G140" s="717">
        <f t="shared" si="17"/>
        <v>0</v>
      </c>
      <c r="H140" s="717"/>
      <c r="I140" s="717">
        <f t="shared" si="18"/>
        <v>0</v>
      </c>
      <c r="J140" s="717">
        <f t="shared" si="18"/>
        <v>0</v>
      </c>
      <c r="K140" s="717">
        <f t="shared" si="18"/>
        <v>0</v>
      </c>
      <c r="L140" s="717"/>
      <c r="M140" s="709"/>
      <c r="N140" s="709"/>
      <c r="O140" s="709"/>
      <c r="P140" s="717"/>
      <c r="Q140" s="709"/>
      <c r="R140" s="709"/>
      <c r="S140" s="709"/>
    </row>
    <row r="141" spans="1:19" hidden="1">
      <c r="A141" s="731">
        <f t="shared" si="16"/>
        <v>9.6599999999999859</v>
      </c>
      <c r="B141" s="709"/>
      <c r="C141" s="717">
        <f t="shared" ref="C141:C168" si="20">SUM(M141:O141)</f>
        <v>0</v>
      </c>
      <c r="D141" s="717">
        <f t="shared" si="19"/>
        <v>0</v>
      </c>
      <c r="E141" s="717"/>
      <c r="F141" s="717"/>
      <c r="G141" s="717">
        <f t="shared" si="17"/>
        <v>0</v>
      </c>
      <c r="H141" s="717"/>
      <c r="I141" s="717">
        <f t="shared" si="18"/>
        <v>0</v>
      </c>
      <c r="J141" s="717">
        <f t="shared" si="18"/>
        <v>0</v>
      </c>
      <c r="K141" s="717">
        <f t="shared" si="18"/>
        <v>0</v>
      </c>
      <c r="L141" s="717"/>
      <c r="M141" s="709"/>
      <c r="N141" s="709"/>
      <c r="O141" s="709"/>
      <c r="P141" s="717"/>
      <c r="Q141" s="709"/>
      <c r="R141" s="709"/>
      <c r="S141" s="709"/>
    </row>
    <row r="142" spans="1:19" hidden="1">
      <c r="A142" s="731">
        <f t="shared" ref="A142:A174" si="21">A141+0.01</f>
        <v>9.6699999999999857</v>
      </c>
      <c r="B142" s="709"/>
      <c r="C142" s="717">
        <f t="shared" si="20"/>
        <v>0</v>
      </c>
      <c r="D142" s="717">
        <f t="shared" si="19"/>
        <v>0</v>
      </c>
      <c r="E142" s="717"/>
      <c r="F142" s="717"/>
      <c r="G142" s="717">
        <f t="shared" si="17"/>
        <v>0</v>
      </c>
      <c r="H142" s="717"/>
      <c r="I142" s="717">
        <f t="shared" si="18"/>
        <v>0</v>
      </c>
      <c r="J142" s="717">
        <f t="shared" si="18"/>
        <v>0</v>
      </c>
      <c r="K142" s="717">
        <f t="shared" si="18"/>
        <v>0</v>
      </c>
      <c r="L142" s="717"/>
      <c r="M142" s="709"/>
      <c r="N142" s="709"/>
      <c r="O142" s="709"/>
      <c r="P142" s="717"/>
      <c r="Q142" s="709"/>
      <c r="R142" s="709"/>
      <c r="S142" s="709"/>
    </row>
    <row r="143" spans="1:19" hidden="1">
      <c r="A143" s="731">
        <f t="shared" si="21"/>
        <v>9.6799999999999855</v>
      </c>
      <c r="B143" s="709"/>
      <c r="C143" s="717">
        <f t="shared" si="20"/>
        <v>0</v>
      </c>
      <c r="D143" s="717">
        <f t="shared" si="19"/>
        <v>0</v>
      </c>
      <c r="E143" s="717"/>
      <c r="F143" s="717"/>
      <c r="G143" s="717">
        <f t="shared" si="17"/>
        <v>0</v>
      </c>
      <c r="H143" s="717"/>
      <c r="I143" s="717">
        <f t="shared" si="18"/>
        <v>0</v>
      </c>
      <c r="J143" s="717">
        <f t="shared" si="18"/>
        <v>0</v>
      </c>
      <c r="K143" s="717">
        <f t="shared" si="18"/>
        <v>0</v>
      </c>
      <c r="L143" s="717"/>
      <c r="M143" s="709"/>
      <c r="N143" s="709"/>
      <c r="O143" s="709"/>
      <c r="P143" s="717"/>
      <c r="Q143" s="709"/>
      <c r="R143" s="709"/>
      <c r="S143" s="709"/>
    </row>
    <row r="144" spans="1:19" hidden="1">
      <c r="A144" s="731">
        <f t="shared" si="21"/>
        <v>9.6899999999999853</v>
      </c>
      <c r="B144" s="709"/>
      <c r="C144" s="717">
        <f t="shared" si="20"/>
        <v>0</v>
      </c>
      <c r="D144" s="717">
        <f t="shared" si="19"/>
        <v>0</v>
      </c>
      <c r="E144" s="717"/>
      <c r="F144" s="717"/>
      <c r="G144" s="717">
        <f t="shared" si="17"/>
        <v>0</v>
      </c>
      <c r="H144" s="717"/>
      <c r="I144" s="717">
        <f t="shared" si="18"/>
        <v>0</v>
      </c>
      <c r="J144" s="717">
        <f t="shared" si="18"/>
        <v>0</v>
      </c>
      <c r="K144" s="717">
        <f t="shared" si="18"/>
        <v>0</v>
      </c>
      <c r="L144" s="717"/>
      <c r="M144" s="709"/>
      <c r="N144" s="709"/>
      <c r="O144" s="709"/>
      <c r="P144" s="717"/>
      <c r="Q144" s="709"/>
      <c r="R144" s="709"/>
      <c r="S144" s="709"/>
    </row>
    <row r="145" spans="1:19" hidden="1">
      <c r="A145" s="731">
        <f t="shared" si="21"/>
        <v>9.6999999999999851</v>
      </c>
      <c r="B145" s="709"/>
      <c r="C145" s="717">
        <f>SUM(M145:O145)</f>
        <v>0</v>
      </c>
      <c r="D145" s="717">
        <f t="shared" si="19"/>
        <v>0</v>
      </c>
      <c r="E145" s="717"/>
      <c r="F145" s="717"/>
      <c r="G145" s="717">
        <f t="shared" si="17"/>
        <v>0</v>
      </c>
      <c r="H145" s="717"/>
      <c r="I145" s="717">
        <f t="shared" si="18"/>
        <v>0</v>
      </c>
      <c r="J145" s="717">
        <f t="shared" si="18"/>
        <v>0</v>
      </c>
      <c r="K145" s="717">
        <f t="shared" si="18"/>
        <v>0</v>
      </c>
      <c r="L145" s="717"/>
      <c r="M145" s="709"/>
      <c r="N145" s="709"/>
      <c r="O145" s="709"/>
      <c r="P145" s="717"/>
      <c r="Q145" s="709"/>
      <c r="R145" s="709"/>
      <c r="S145" s="709"/>
    </row>
    <row r="146" spans="1:19" hidden="1">
      <c r="A146" s="731">
        <f t="shared" si="21"/>
        <v>9.7099999999999849</v>
      </c>
      <c r="B146" s="709"/>
      <c r="C146" s="717">
        <f t="shared" si="20"/>
        <v>0</v>
      </c>
      <c r="D146" s="717">
        <f t="shared" si="19"/>
        <v>0</v>
      </c>
      <c r="E146" s="717"/>
      <c r="F146" s="717"/>
      <c r="G146" s="717">
        <f t="shared" si="17"/>
        <v>0</v>
      </c>
      <c r="H146" s="717"/>
      <c r="I146" s="717">
        <f t="shared" si="18"/>
        <v>0</v>
      </c>
      <c r="J146" s="717">
        <f t="shared" si="18"/>
        <v>0</v>
      </c>
      <c r="K146" s="717">
        <f t="shared" si="18"/>
        <v>0</v>
      </c>
      <c r="L146" s="717"/>
      <c r="M146" s="709"/>
      <c r="N146" s="709"/>
      <c r="O146" s="709"/>
      <c r="P146" s="717"/>
      <c r="Q146" s="709"/>
      <c r="R146" s="709"/>
      <c r="S146" s="709"/>
    </row>
    <row r="147" spans="1:19" hidden="1">
      <c r="A147" s="731">
        <f t="shared" si="21"/>
        <v>9.7199999999999847</v>
      </c>
      <c r="B147" s="709"/>
      <c r="C147" s="717">
        <f>SUM(M147:O147)</f>
        <v>0</v>
      </c>
      <c r="D147" s="717">
        <f t="shared" si="19"/>
        <v>0</v>
      </c>
      <c r="E147" s="717"/>
      <c r="F147" s="717"/>
      <c r="G147" s="717">
        <f t="shared" si="17"/>
        <v>0</v>
      </c>
      <c r="H147" s="717"/>
      <c r="I147" s="717">
        <f t="shared" si="18"/>
        <v>0</v>
      </c>
      <c r="J147" s="717">
        <f t="shared" si="18"/>
        <v>0</v>
      </c>
      <c r="K147" s="717">
        <f t="shared" si="18"/>
        <v>0</v>
      </c>
      <c r="L147" s="717"/>
      <c r="M147" s="709"/>
      <c r="N147" s="709"/>
      <c r="O147" s="709"/>
      <c r="P147" s="717"/>
      <c r="Q147" s="709"/>
      <c r="R147" s="709"/>
      <c r="S147" s="709"/>
    </row>
    <row r="148" spans="1:19" hidden="1">
      <c r="A148" s="731">
        <f t="shared" si="21"/>
        <v>9.7299999999999844</v>
      </c>
      <c r="B148" s="709"/>
      <c r="C148" s="717">
        <f>SUM(M148:O148)</f>
        <v>0</v>
      </c>
      <c r="D148" s="717">
        <f t="shared" si="19"/>
        <v>0</v>
      </c>
      <c r="E148" s="717"/>
      <c r="F148" s="717"/>
      <c r="G148" s="717">
        <f t="shared" si="17"/>
        <v>0</v>
      </c>
      <c r="H148" s="717"/>
      <c r="I148" s="717">
        <f t="shared" si="18"/>
        <v>0</v>
      </c>
      <c r="J148" s="717">
        <f t="shared" si="18"/>
        <v>0</v>
      </c>
      <c r="K148" s="717">
        <f t="shared" si="18"/>
        <v>0</v>
      </c>
      <c r="L148" s="717"/>
      <c r="M148" s="709"/>
      <c r="N148" s="709"/>
      <c r="O148" s="709"/>
      <c r="P148" s="717"/>
      <c r="Q148" s="709"/>
      <c r="R148" s="709"/>
      <c r="S148" s="709"/>
    </row>
    <row r="149" spans="1:19" hidden="1">
      <c r="A149" s="731">
        <f t="shared" si="21"/>
        <v>9.7399999999999842</v>
      </c>
      <c r="B149" s="709"/>
      <c r="C149" s="717">
        <f>SUM(M149:O149)</f>
        <v>0</v>
      </c>
      <c r="D149" s="717">
        <f t="shared" si="19"/>
        <v>0</v>
      </c>
      <c r="E149" s="717"/>
      <c r="F149" s="717"/>
      <c r="G149" s="717">
        <f t="shared" si="17"/>
        <v>0</v>
      </c>
      <c r="H149" s="717"/>
      <c r="I149" s="717">
        <f t="shared" si="18"/>
        <v>0</v>
      </c>
      <c r="J149" s="717">
        <f t="shared" si="18"/>
        <v>0</v>
      </c>
      <c r="K149" s="717">
        <f t="shared" si="18"/>
        <v>0</v>
      </c>
      <c r="L149" s="717"/>
      <c r="M149" s="709"/>
      <c r="N149" s="709"/>
      <c r="O149" s="709"/>
      <c r="P149" s="717"/>
      <c r="Q149" s="709"/>
      <c r="R149" s="709"/>
      <c r="S149" s="709"/>
    </row>
    <row r="150" spans="1:19" hidden="1">
      <c r="A150" s="731">
        <f t="shared" si="21"/>
        <v>9.749999999999984</v>
      </c>
      <c r="B150" s="709"/>
      <c r="C150" s="717">
        <f>SUM(M150:O150)</f>
        <v>0</v>
      </c>
      <c r="D150" s="717">
        <f t="shared" si="19"/>
        <v>0</v>
      </c>
      <c r="E150" s="717"/>
      <c r="F150" s="717"/>
      <c r="G150" s="717">
        <f t="shared" si="17"/>
        <v>0</v>
      </c>
      <c r="H150" s="717"/>
      <c r="I150" s="717">
        <f t="shared" si="18"/>
        <v>0</v>
      </c>
      <c r="J150" s="717">
        <f t="shared" si="18"/>
        <v>0</v>
      </c>
      <c r="K150" s="717">
        <f t="shared" si="18"/>
        <v>0</v>
      </c>
      <c r="L150" s="717"/>
      <c r="M150" s="709"/>
      <c r="N150" s="709"/>
      <c r="O150" s="709"/>
      <c r="P150" s="717"/>
      <c r="Q150" s="709"/>
      <c r="R150" s="709"/>
      <c r="S150" s="709"/>
    </row>
    <row r="151" spans="1:19" hidden="1">
      <c r="A151" s="731">
        <f t="shared" si="21"/>
        <v>9.7599999999999838</v>
      </c>
      <c r="B151" s="709"/>
      <c r="C151" s="717">
        <f t="shared" si="20"/>
        <v>0</v>
      </c>
      <c r="D151" s="717">
        <f t="shared" si="19"/>
        <v>0</v>
      </c>
      <c r="E151" s="717"/>
      <c r="F151" s="717"/>
      <c r="G151" s="717">
        <f t="shared" si="17"/>
        <v>0</v>
      </c>
      <c r="H151" s="717"/>
      <c r="I151" s="717">
        <f t="shared" si="18"/>
        <v>0</v>
      </c>
      <c r="J151" s="717">
        <f t="shared" si="18"/>
        <v>0</v>
      </c>
      <c r="K151" s="717">
        <f t="shared" si="18"/>
        <v>0</v>
      </c>
      <c r="L151" s="717"/>
      <c r="M151" s="709"/>
      <c r="N151" s="709"/>
      <c r="O151" s="709"/>
      <c r="P151" s="717"/>
      <c r="Q151" s="709"/>
      <c r="R151" s="709"/>
      <c r="S151" s="709"/>
    </row>
    <row r="152" spans="1:19" hidden="1">
      <c r="A152" s="731">
        <f t="shared" si="21"/>
        <v>9.7699999999999836</v>
      </c>
      <c r="B152" s="709"/>
      <c r="C152" s="717">
        <f t="shared" si="20"/>
        <v>0</v>
      </c>
      <c r="D152" s="717">
        <f t="shared" si="19"/>
        <v>0</v>
      </c>
      <c r="E152" s="717"/>
      <c r="F152" s="717"/>
      <c r="G152" s="717">
        <f t="shared" si="17"/>
        <v>0</v>
      </c>
      <c r="H152" s="717"/>
      <c r="I152" s="717">
        <f t="shared" si="18"/>
        <v>0</v>
      </c>
      <c r="J152" s="717">
        <f t="shared" si="18"/>
        <v>0</v>
      </c>
      <c r="K152" s="717">
        <f t="shared" si="18"/>
        <v>0</v>
      </c>
      <c r="L152" s="717"/>
      <c r="M152" s="709"/>
      <c r="N152" s="709"/>
      <c r="O152" s="709"/>
      <c r="P152" s="717"/>
      <c r="Q152" s="709"/>
      <c r="R152" s="709"/>
      <c r="S152" s="709"/>
    </row>
    <row r="153" spans="1:19" hidden="1">
      <c r="A153" s="731">
        <f t="shared" si="21"/>
        <v>9.7799999999999834</v>
      </c>
      <c r="B153" s="709"/>
      <c r="C153" s="717">
        <f t="shared" si="20"/>
        <v>0</v>
      </c>
      <c r="D153" s="717">
        <f t="shared" si="19"/>
        <v>0</v>
      </c>
      <c r="E153" s="717"/>
      <c r="F153" s="717"/>
      <c r="G153" s="717">
        <f t="shared" si="17"/>
        <v>0</v>
      </c>
      <c r="H153" s="717"/>
      <c r="I153" s="717">
        <f t="shared" si="18"/>
        <v>0</v>
      </c>
      <c r="J153" s="717">
        <f t="shared" si="18"/>
        <v>0</v>
      </c>
      <c r="K153" s="717">
        <f t="shared" si="18"/>
        <v>0</v>
      </c>
      <c r="L153" s="717"/>
      <c r="M153" s="709"/>
      <c r="N153" s="709"/>
      <c r="O153" s="709"/>
      <c r="P153" s="717"/>
      <c r="Q153" s="709"/>
      <c r="R153" s="709"/>
      <c r="S153" s="709"/>
    </row>
    <row r="154" spans="1:19" hidden="1">
      <c r="A154" s="731">
        <f t="shared" si="21"/>
        <v>9.7899999999999832</v>
      </c>
      <c r="B154" s="709"/>
      <c r="C154" s="717">
        <f t="shared" si="20"/>
        <v>0</v>
      </c>
      <c r="D154" s="717">
        <f t="shared" si="19"/>
        <v>0</v>
      </c>
      <c r="E154" s="717"/>
      <c r="F154" s="717"/>
      <c r="G154" s="717">
        <f t="shared" si="17"/>
        <v>0</v>
      </c>
      <c r="H154" s="717"/>
      <c r="I154" s="717">
        <f t="shared" si="18"/>
        <v>0</v>
      </c>
      <c r="J154" s="717">
        <f t="shared" si="18"/>
        <v>0</v>
      </c>
      <c r="K154" s="717">
        <f t="shared" si="18"/>
        <v>0</v>
      </c>
      <c r="L154" s="717"/>
      <c r="M154" s="709"/>
      <c r="N154" s="709"/>
      <c r="O154" s="709"/>
      <c r="P154" s="717"/>
      <c r="Q154" s="709"/>
      <c r="R154" s="709"/>
      <c r="S154" s="709"/>
    </row>
    <row r="155" spans="1:19" hidden="1">
      <c r="A155" s="731">
        <f t="shared" si="21"/>
        <v>9.7999999999999829</v>
      </c>
      <c r="B155" s="709"/>
      <c r="C155" s="717">
        <f t="shared" si="20"/>
        <v>0</v>
      </c>
      <c r="D155" s="717">
        <f t="shared" si="19"/>
        <v>0</v>
      </c>
      <c r="E155" s="717"/>
      <c r="F155" s="717"/>
      <c r="G155" s="717">
        <f t="shared" si="17"/>
        <v>0</v>
      </c>
      <c r="H155" s="717"/>
      <c r="I155" s="717">
        <f t="shared" si="18"/>
        <v>0</v>
      </c>
      <c r="J155" s="717">
        <f t="shared" si="18"/>
        <v>0</v>
      </c>
      <c r="K155" s="717">
        <f t="shared" si="18"/>
        <v>0</v>
      </c>
      <c r="L155" s="717"/>
      <c r="M155" s="709"/>
      <c r="N155" s="709"/>
      <c r="O155" s="709"/>
      <c r="P155" s="717"/>
      <c r="Q155" s="709"/>
      <c r="R155" s="709"/>
      <c r="S155" s="709"/>
    </row>
    <row r="156" spans="1:19" hidden="1">
      <c r="A156" s="731">
        <f t="shared" si="21"/>
        <v>9.8099999999999827</v>
      </c>
      <c r="B156" s="709"/>
      <c r="C156" s="717">
        <f t="shared" si="20"/>
        <v>0</v>
      </c>
      <c r="D156" s="717">
        <f t="shared" si="19"/>
        <v>0</v>
      </c>
      <c r="E156" s="717"/>
      <c r="F156" s="717"/>
      <c r="G156" s="717">
        <f t="shared" si="17"/>
        <v>0</v>
      </c>
      <c r="H156" s="717"/>
      <c r="I156" s="717">
        <f t="shared" si="18"/>
        <v>0</v>
      </c>
      <c r="J156" s="717">
        <f t="shared" si="18"/>
        <v>0</v>
      </c>
      <c r="K156" s="717">
        <f t="shared" si="18"/>
        <v>0</v>
      </c>
      <c r="L156" s="717"/>
      <c r="M156" s="709"/>
      <c r="N156" s="709"/>
      <c r="O156" s="709"/>
      <c r="P156" s="717"/>
      <c r="Q156" s="709"/>
      <c r="R156" s="709"/>
      <c r="S156" s="709"/>
    </row>
    <row r="157" spans="1:19" hidden="1">
      <c r="A157" s="731">
        <f t="shared" si="21"/>
        <v>9.8199999999999825</v>
      </c>
      <c r="B157" s="709"/>
      <c r="C157" s="717">
        <f t="shared" si="20"/>
        <v>0</v>
      </c>
      <c r="D157" s="717">
        <f t="shared" si="19"/>
        <v>0</v>
      </c>
      <c r="E157" s="717"/>
      <c r="F157" s="717"/>
      <c r="G157" s="717">
        <f t="shared" si="17"/>
        <v>0</v>
      </c>
      <c r="H157" s="717"/>
      <c r="I157" s="717">
        <f t="shared" si="18"/>
        <v>0</v>
      </c>
      <c r="J157" s="717">
        <f t="shared" si="18"/>
        <v>0</v>
      </c>
      <c r="K157" s="717">
        <f t="shared" si="18"/>
        <v>0</v>
      </c>
      <c r="L157" s="717"/>
      <c r="M157" s="709"/>
      <c r="N157" s="709"/>
      <c r="O157" s="709"/>
      <c r="P157" s="717"/>
      <c r="Q157" s="709"/>
      <c r="R157" s="709"/>
      <c r="S157" s="709"/>
    </row>
    <row r="158" spans="1:19" hidden="1">
      <c r="A158" s="731">
        <f t="shared" si="21"/>
        <v>9.8299999999999823</v>
      </c>
      <c r="B158" s="709"/>
      <c r="C158" s="717">
        <f>SUM(M158:O158)</f>
        <v>0</v>
      </c>
      <c r="D158" s="717">
        <f t="shared" si="19"/>
        <v>0</v>
      </c>
      <c r="E158" s="717"/>
      <c r="F158" s="717"/>
      <c r="G158" s="717">
        <f t="shared" si="17"/>
        <v>0</v>
      </c>
      <c r="H158" s="717"/>
      <c r="I158" s="717">
        <f t="shared" ref="I158:K168" si="22">(M158+Q158)/2</f>
        <v>0</v>
      </c>
      <c r="J158" s="717">
        <f t="shared" si="22"/>
        <v>0</v>
      </c>
      <c r="K158" s="717">
        <f t="shared" si="22"/>
        <v>0</v>
      </c>
      <c r="L158" s="717"/>
      <c r="M158" s="709"/>
      <c r="N158" s="709"/>
      <c r="O158" s="709"/>
      <c r="P158" s="717"/>
      <c r="Q158" s="709"/>
      <c r="R158" s="709"/>
      <c r="S158" s="709"/>
    </row>
    <row r="159" spans="1:19" hidden="1">
      <c r="A159" s="731">
        <f t="shared" si="21"/>
        <v>9.8399999999999821</v>
      </c>
      <c r="B159" s="709"/>
      <c r="C159" s="717">
        <f>SUM(M159:O159)</f>
        <v>0</v>
      </c>
      <c r="D159" s="717">
        <f t="shared" si="19"/>
        <v>0</v>
      </c>
      <c r="E159" s="717"/>
      <c r="F159" s="717"/>
      <c r="G159" s="717">
        <f t="shared" si="17"/>
        <v>0</v>
      </c>
      <c r="H159" s="717"/>
      <c r="I159" s="717">
        <f t="shared" si="22"/>
        <v>0</v>
      </c>
      <c r="J159" s="717">
        <f t="shared" si="22"/>
        <v>0</v>
      </c>
      <c r="K159" s="717">
        <f t="shared" si="22"/>
        <v>0</v>
      </c>
      <c r="L159" s="717"/>
      <c r="M159" s="709"/>
      <c r="N159" s="709"/>
      <c r="O159" s="709"/>
      <c r="P159" s="717"/>
      <c r="Q159" s="709"/>
      <c r="R159" s="709"/>
      <c r="S159" s="709"/>
    </row>
    <row r="160" spans="1:19" hidden="1">
      <c r="A160" s="731">
        <f t="shared" si="21"/>
        <v>9.8499999999999819</v>
      </c>
      <c r="B160" s="709"/>
      <c r="C160" s="717">
        <f>SUM(M160:O160)</f>
        <v>0</v>
      </c>
      <c r="D160" s="717">
        <f t="shared" si="19"/>
        <v>0</v>
      </c>
      <c r="E160" s="717"/>
      <c r="F160" s="717"/>
      <c r="G160" s="717">
        <f t="shared" si="17"/>
        <v>0</v>
      </c>
      <c r="H160" s="717"/>
      <c r="I160" s="717">
        <f t="shared" si="22"/>
        <v>0</v>
      </c>
      <c r="J160" s="717">
        <f t="shared" si="22"/>
        <v>0</v>
      </c>
      <c r="K160" s="717">
        <f t="shared" si="22"/>
        <v>0</v>
      </c>
      <c r="L160" s="717"/>
      <c r="M160" s="709"/>
      <c r="N160" s="709"/>
      <c r="O160" s="709"/>
      <c r="P160" s="717"/>
      <c r="Q160" s="709"/>
      <c r="R160" s="709"/>
      <c r="S160" s="709"/>
    </row>
    <row r="161" spans="1:19" hidden="1">
      <c r="A161" s="731">
        <f t="shared" si="21"/>
        <v>9.8599999999999817</v>
      </c>
      <c r="B161" s="709"/>
      <c r="C161" s="717">
        <f>SUM(M161:O161)</f>
        <v>0</v>
      </c>
      <c r="D161" s="717">
        <f t="shared" si="19"/>
        <v>0</v>
      </c>
      <c r="E161" s="717"/>
      <c r="F161" s="717"/>
      <c r="G161" s="717">
        <f t="shared" si="17"/>
        <v>0</v>
      </c>
      <c r="H161" s="717"/>
      <c r="I161" s="717">
        <f t="shared" si="22"/>
        <v>0</v>
      </c>
      <c r="J161" s="717">
        <f t="shared" si="22"/>
        <v>0</v>
      </c>
      <c r="K161" s="717">
        <f t="shared" si="22"/>
        <v>0</v>
      </c>
      <c r="L161" s="717"/>
      <c r="M161" s="709"/>
      <c r="N161" s="709"/>
      <c r="O161" s="709"/>
      <c r="P161" s="717"/>
      <c r="Q161" s="709"/>
      <c r="R161" s="709"/>
      <c r="S161" s="709"/>
    </row>
    <row r="162" spans="1:19" hidden="1">
      <c r="A162" s="731">
        <f t="shared" si="21"/>
        <v>9.8699999999999815</v>
      </c>
      <c r="B162" s="709"/>
      <c r="C162" s="717">
        <f t="shared" si="20"/>
        <v>0</v>
      </c>
      <c r="D162" s="717">
        <f t="shared" si="19"/>
        <v>0</v>
      </c>
      <c r="E162" s="717"/>
      <c r="F162" s="717"/>
      <c r="G162" s="717">
        <f t="shared" si="17"/>
        <v>0</v>
      </c>
      <c r="H162" s="717"/>
      <c r="I162" s="717">
        <f t="shared" si="22"/>
        <v>0</v>
      </c>
      <c r="J162" s="717">
        <f t="shared" si="22"/>
        <v>0</v>
      </c>
      <c r="K162" s="717">
        <f t="shared" si="22"/>
        <v>0</v>
      </c>
      <c r="L162" s="717"/>
      <c r="M162" s="709"/>
      <c r="N162" s="709"/>
      <c r="O162" s="709"/>
      <c r="P162" s="717"/>
      <c r="Q162" s="709"/>
      <c r="R162" s="709"/>
      <c r="S162" s="709"/>
    </row>
    <row r="163" spans="1:19" hidden="1">
      <c r="A163" s="731">
        <f t="shared" si="21"/>
        <v>9.8799999999999812</v>
      </c>
      <c r="B163" s="709"/>
      <c r="C163" s="717">
        <f t="shared" si="20"/>
        <v>0</v>
      </c>
      <c r="D163" s="717">
        <f t="shared" si="19"/>
        <v>0</v>
      </c>
      <c r="E163" s="717"/>
      <c r="F163" s="717"/>
      <c r="G163" s="717">
        <f t="shared" si="17"/>
        <v>0</v>
      </c>
      <c r="H163" s="717"/>
      <c r="I163" s="717">
        <f t="shared" si="22"/>
        <v>0</v>
      </c>
      <c r="J163" s="717">
        <f t="shared" si="22"/>
        <v>0</v>
      </c>
      <c r="K163" s="717">
        <f t="shared" si="22"/>
        <v>0</v>
      </c>
      <c r="L163" s="717"/>
      <c r="M163" s="709"/>
      <c r="N163" s="709"/>
      <c r="O163" s="709"/>
      <c r="P163" s="717"/>
      <c r="Q163" s="709"/>
      <c r="R163" s="709"/>
      <c r="S163" s="709"/>
    </row>
    <row r="164" spans="1:19" hidden="1">
      <c r="A164" s="731">
        <f t="shared" si="21"/>
        <v>9.889999999999981</v>
      </c>
      <c r="B164" s="709"/>
      <c r="C164" s="717">
        <f t="shared" si="20"/>
        <v>0</v>
      </c>
      <c r="D164" s="717">
        <f t="shared" si="19"/>
        <v>0</v>
      </c>
      <c r="E164" s="717"/>
      <c r="F164" s="717"/>
      <c r="G164" s="717">
        <f t="shared" si="17"/>
        <v>0</v>
      </c>
      <c r="H164" s="717"/>
      <c r="I164" s="717">
        <f t="shared" si="22"/>
        <v>0</v>
      </c>
      <c r="J164" s="717">
        <f t="shared" si="22"/>
        <v>0</v>
      </c>
      <c r="K164" s="717">
        <f t="shared" si="22"/>
        <v>0</v>
      </c>
      <c r="L164" s="717"/>
      <c r="M164" s="709"/>
      <c r="N164" s="709"/>
      <c r="O164" s="709"/>
      <c r="P164" s="717"/>
      <c r="Q164" s="709"/>
      <c r="R164" s="709"/>
      <c r="S164" s="709"/>
    </row>
    <row r="165" spans="1:19" hidden="1">
      <c r="A165" s="731">
        <f t="shared" si="21"/>
        <v>9.8999999999999808</v>
      </c>
      <c r="B165" s="709"/>
      <c r="C165" s="717">
        <f t="shared" si="20"/>
        <v>0</v>
      </c>
      <c r="D165" s="717">
        <f t="shared" si="19"/>
        <v>0</v>
      </c>
      <c r="E165" s="717"/>
      <c r="F165" s="717"/>
      <c r="G165" s="717">
        <f t="shared" si="17"/>
        <v>0</v>
      </c>
      <c r="H165" s="717"/>
      <c r="I165" s="717">
        <f t="shared" si="22"/>
        <v>0</v>
      </c>
      <c r="J165" s="717">
        <f t="shared" si="22"/>
        <v>0</v>
      </c>
      <c r="K165" s="717">
        <f t="shared" si="22"/>
        <v>0</v>
      </c>
      <c r="L165" s="717"/>
      <c r="M165" s="709"/>
      <c r="N165" s="709"/>
      <c r="O165" s="709"/>
      <c r="P165" s="717"/>
      <c r="Q165" s="709"/>
      <c r="R165" s="709"/>
      <c r="S165" s="709"/>
    </row>
    <row r="166" spans="1:19" hidden="1">
      <c r="A166" s="731">
        <f t="shared" si="21"/>
        <v>9.9099999999999806</v>
      </c>
      <c r="B166" s="709"/>
      <c r="C166" s="717">
        <f t="shared" si="20"/>
        <v>0</v>
      </c>
      <c r="D166" s="717">
        <f t="shared" si="19"/>
        <v>0</v>
      </c>
      <c r="E166" s="717"/>
      <c r="F166" s="717"/>
      <c r="G166" s="717">
        <f>ROUND(SUM(C166:F166)/2,0)</f>
        <v>0</v>
      </c>
      <c r="H166" s="717"/>
      <c r="I166" s="717">
        <f t="shared" si="22"/>
        <v>0</v>
      </c>
      <c r="J166" s="717">
        <f t="shared" si="22"/>
        <v>0</v>
      </c>
      <c r="K166" s="717">
        <f t="shared" si="22"/>
        <v>0</v>
      </c>
      <c r="L166" s="717"/>
      <c r="M166" s="709"/>
      <c r="N166" s="709"/>
      <c r="O166" s="709"/>
      <c r="P166" s="717"/>
      <c r="Q166" s="709"/>
      <c r="R166" s="709"/>
      <c r="S166" s="709"/>
    </row>
    <row r="167" spans="1:19" hidden="1">
      <c r="A167" s="731">
        <f t="shared" si="21"/>
        <v>9.9199999999999804</v>
      </c>
      <c r="B167" s="709"/>
      <c r="C167" s="717">
        <f t="shared" si="20"/>
        <v>0</v>
      </c>
      <c r="D167" s="717">
        <f t="shared" si="19"/>
        <v>0</v>
      </c>
      <c r="E167" s="717"/>
      <c r="F167" s="717"/>
      <c r="G167" s="717">
        <f t="shared" si="17"/>
        <v>0</v>
      </c>
      <c r="H167" s="717"/>
      <c r="I167" s="717">
        <f t="shared" si="22"/>
        <v>0</v>
      </c>
      <c r="J167" s="717">
        <f t="shared" si="22"/>
        <v>0</v>
      </c>
      <c r="K167" s="717">
        <f t="shared" si="22"/>
        <v>0</v>
      </c>
      <c r="L167" s="717"/>
      <c r="M167" s="709"/>
      <c r="N167" s="709"/>
      <c r="O167" s="709"/>
      <c r="P167" s="717"/>
      <c r="Q167" s="709"/>
      <c r="R167" s="709"/>
      <c r="S167" s="709"/>
    </row>
    <row r="168" spans="1:19" hidden="1">
      <c r="A168" s="731">
        <f t="shared" si="21"/>
        <v>9.9299999999999802</v>
      </c>
      <c r="B168" s="709"/>
      <c r="C168" s="717">
        <f t="shared" si="20"/>
        <v>0</v>
      </c>
      <c r="D168" s="717">
        <f t="shared" si="19"/>
        <v>0</v>
      </c>
      <c r="E168" s="717"/>
      <c r="F168" s="717"/>
      <c r="G168" s="717">
        <f t="shared" si="17"/>
        <v>0</v>
      </c>
      <c r="H168" s="717"/>
      <c r="I168" s="717">
        <f t="shared" si="22"/>
        <v>0</v>
      </c>
      <c r="J168" s="717">
        <f t="shared" si="22"/>
        <v>0</v>
      </c>
      <c r="K168" s="717">
        <f t="shared" si="22"/>
        <v>0</v>
      </c>
      <c r="L168" s="717"/>
      <c r="M168" s="709"/>
      <c r="N168" s="709"/>
      <c r="O168" s="709"/>
      <c r="P168" s="717"/>
      <c r="Q168" s="709"/>
      <c r="R168" s="709"/>
      <c r="S168" s="709"/>
    </row>
    <row r="169" spans="1:19">
      <c r="A169" s="731">
        <f t="shared" si="21"/>
        <v>9.93999999999998</v>
      </c>
      <c r="B169" s="709"/>
      <c r="C169" s="709"/>
      <c r="D169" s="709"/>
      <c r="E169" s="717">
        <f t="shared" ref="E169:F174" si="23">-C169</f>
        <v>0</v>
      </c>
      <c r="F169" s="717">
        <f t="shared" si="23"/>
        <v>0</v>
      </c>
      <c r="G169" s="717">
        <f t="shared" si="17"/>
        <v>0</v>
      </c>
      <c r="H169" s="717"/>
      <c r="I169" s="717"/>
      <c r="J169" s="717"/>
      <c r="K169" s="717"/>
      <c r="L169" s="717"/>
      <c r="M169" s="717"/>
      <c r="N169" s="717"/>
      <c r="O169" s="717"/>
      <c r="P169" s="717"/>
      <c r="Q169" s="717"/>
      <c r="R169" s="717"/>
      <c r="S169" s="717"/>
    </row>
    <row r="170" spans="1:19">
      <c r="A170" s="731">
        <f t="shared" si="21"/>
        <v>9.9499999999999797</v>
      </c>
      <c r="B170" s="709"/>
      <c r="C170" s="709"/>
      <c r="D170" s="709"/>
      <c r="E170" s="717">
        <f t="shared" si="23"/>
        <v>0</v>
      </c>
      <c r="F170" s="717">
        <f t="shared" si="23"/>
        <v>0</v>
      </c>
      <c r="G170" s="717">
        <f t="shared" si="17"/>
        <v>0</v>
      </c>
      <c r="H170" s="717"/>
      <c r="I170" s="717"/>
      <c r="J170" s="717"/>
      <c r="K170" s="717"/>
      <c r="L170" s="717"/>
      <c r="M170" s="717"/>
      <c r="N170" s="717"/>
      <c r="O170" s="717"/>
      <c r="P170" s="717"/>
      <c r="Q170" s="717"/>
      <c r="R170" s="717"/>
      <c r="S170" s="717"/>
    </row>
    <row r="171" spans="1:19">
      <c r="A171" s="731">
        <f t="shared" si="21"/>
        <v>9.9599999999999795</v>
      </c>
      <c r="B171" s="709"/>
      <c r="C171" s="709"/>
      <c r="D171" s="709"/>
      <c r="E171" s="717">
        <f t="shared" si="23"/>
        <v>0</v>
      </c>
      <c r="F171" s="717">
        <f t="shared" si="23"/>
        <v>0</v>
      </c>
      <c r="G171" s="717">
        <f t="shared" si="17"/>
        <v>0</v>
      </c>
      <c r="H171" s="717"/>
      <c r="I171" s="717"/>
      <c r="J171" s="717"/>
      <c r="K171" s="717"/>
      <c r="L171" s="717"/>
      <c r="M171" s="717"/>
      <c r="N171" s="717"/>
      <c r="O171" s="717"/>
      <c r="P171" s="717"/>
      <c r="Q171" s="717"/>
      <c r="R171" s="717"/>
      <c r="S171" s="717"/>
    </row>
    <row r="172" spans="1:19">
      <c r="A172" s="731">
        <f t="shared" si="21"/>
        <v>9.9699999999999793</v>
      </c>
      <c r="B172" s="709"/>
      <c r="C172" s="709"/>
      <c r="D172" s="709"/>
      <c r="E172" s="717">
        <f>-C172</f>
        <v>0</v>
      </c>
      <c r="F172" s="717">
        <f>-D172</f>
        <v>0</v>
      </c>
      <c r="G172" s="717">
        <f t="shared" si="17"/>
        <v>0</v>
      </c>
      <c r="H172" s="717"/>
      <c r="I172" s="717"/>
      <c r="J172" s="717"/>
      <c r="K172" s="717"/>
      <c r="L172" s="717"/>
      <c r="M172" s="717"/>
      <c r="N172" s="717"/>
      <c r="O172" s="717"/>
      <c r="P172" s="717"/>
      <c r="Q172" s="717"/>
      <c r="R172" s="717"/>
      <c r="S172" s="717"/>
    </row>
    <row r="173" spans="1:19">
      <c r="A173" s="731">
        <f t="shared" si="21"/>
        <v>9.9799999999999791</v>
      </c>
      <c r="B173" s="709"/>
      <c r="C173" s="709"/>
      <c r="D173" s="709"/>
      <c r="E173" s="717">
        <f>-C173</f>
        <v>0</v>
      </c>
      <c r="F173" s="717">
        <f>-D173</f>
        <v>0</v>
      </c>
      <c r="G173" s="717">
        <f t="shared" si="17"/>
        <v>0</v>
      </c>
      <c r="H173" s="717"/>
      <c r="I173" s="717"/>
      <c r="J173" s="717"/>
      <c r="K173" s="717"/>
      <c r="L173" s="717"/>
      <c r="M173" s="717"/>
      <c r="N173" s="717"/>
      <c r="O173" s="717"/>
      <c r="P173" s="717"/>
      <c r="Q173" s="717"/>
      <c r="R173" s="717"/>
      <c r="S173" s="717"/>
    </row>
    <row r="174" spans="1:19">
      <c r="A174" s="731">
        <f t="shared" si="21"/>
        <v>9.9899999999999789</v>
      </c>
      <c r="B174" s="709"/>
      <c r="C174" s="709"/>
      <c r="D174" s="709"/>
      <c r="E174" s="717">
        <f t="shared" si="23"/>
        <v>0</v>
      </c>
      <c r="F174" s="717">
        <f t="shared" si="23"/>
        <v>0</v>
      </c>
      <c r="G174" s="717">
        <f t="shared" si="17"/>
        <v>0</v>
      </c>
      <c r="H174" s="717"/>
      <c r="I174" s="717"/>
      <c r="J174" s="717"/>
      <c r="K174" s="717"/>
      <c r="L174" s="717"/>
      <c r="M174" s="717"/>
      <c r="N174" s="717"/>
      <c r="O174" s="717"/>
      <c r="P174" s="717"/>
      <c r="Q174" s="717"/>
      <c r="R174" s="717"/>
      <c r="S174" s="717"/>
    </row>
    <row r="175" spans="1:19">
      <c r="A175" s="724"/>
      <c r="B175" s="711"/>
      <c r="C175" s="717"/>
      <c r="D175" s="717"/>
      <c r="E175" s="717"/>
      <c r="F175" s="717"/>
      <c r="G175" s="717"/>
      <c r="H175" s="717"/>
      <c r="I175" s="717"/>
      <c r="J175" s="717"/>
      <c r="K175" s="717"/>
      <c r="L175" s="717"/>
      <c r="M175" s="717"/>
      <c r="N175" s="717"/>
      <c r="O175" s="717"/>
      <c r="P175" s="717"/>
      <c r="Q175" s="717"/>
      <c r="R175" s="717"/>
      <c r="S175" s="717"/>
    </row>
    <row r="176" spans="1:19">
      <c r="A176" s="724"/>
      <c r="B176" s="711"/>
      <c r="C176" s="717"/>
      <c r="D176" s="717"/>
      <c r="E176" s="717"/>
      <c r="F176" s="717"/>
      <c r="G176" s="717"/>
      <c r="H176" s="717"/>
      <c r="I176" s="717"/>
      <c r="J176" s="717"/>
      <c r="K176" s="717"/>
      <c r="L176" s="717"/>
      <c r="M176" s="717"/>
      <c r="N176" s="717"/>
      <c r="O176" s="717"/>
      <c r="P176" s="717"/>
      <c r="Q176" s="717"/>
      <c r="R176" s="717"/>
      <c r="S176" s="717"/>
    </row>
    <row r="177" spans="1:19" ht="13.5" thickBot="1">
      <c r="A177" s="724">
        <v>10</v>
      </c>
      <c r="C177" s="719">
        <f>SUM(C76:C176)</f>
        <v>0</v>
      </c>
      <c r="D177" s="719">
        <f>SUM(D76:D176)</f>
        <v>0</v>
      </c>
      <c r="E177" s="719">
        <f>SUM(E76:E176)</f>
        <v>0</v>
      </c>
      <c r="F177" s="719">
        <f>SUM(F76:F176)</f>
        <v>0</v>
      </c>
      <c r="G177" s="719">
        <f>SUM(G76:G176)</f>
        <v>0</v>
      </c>
      <c r="H177" s="717"/>
      <c r="I177" s="719">
        <f>SUM(I76:I176)</f>
        <v>0</v>
      </c>
      <c r="J177" s="719">
        <f>SUM(J76:J176)</f>
        <v>0</v>
      </c>
      <c r="K177" s="719">
        <f>SUM(K76:K176)</f>
        <v>0</v>
      </c>
      <c r="L177" s="717"/>
      <c r="M177" s="719">
        <f>SUM(M76:M176)</f>
        <v>0</v>
      </c>
      <c r="N177" s="719">
        <f>SUM(N76:N176)</f>
        <v>0</v>
      </c>
      <c r="O177" s="719">
        <f>SUM(O76:O176)</f>
        <v>0</v>
      </c>
      <c r="P177" s="717"/>
      <c r="Q177" s="719">
        <f>SUM(Q76:Q176)</f>
        <v>0</v>
      </c>
      <c r="R177" s="719">
        <f>SUM(R76:R176)</f>
        <v>0</v>
      </c>
      <c r="S177" s="719">
        <f>SUM(S76:S176)</f>
        <v>0</v>
      </c>
    </row>
    <row r="178" spans="1:19" ht="13.5" thickTop="1">
      <c r="A178" s="724"/>
      <c r="B178" s="711"/>
      <c r="C178" s="720"/>
      <c r="D178" s="720"/>
      <c r="E178" s="720"/>
      <c r="F178" s="720"/>
      <c r="G178" s="720"/>
      <c r="H178" s="717"/>
      <c r="I178" s="720"/>
      <c r="J178" s="720"/>
      <c r="K178" s="720"/>
      <c r="L178" s="717"/>
      <c r="M178" s="720"/>
      <c r="N178" s="720"/>
      <c r="O178" s="720"/>
      <c r="P178" s="717"/>
      <c r="Q178" s="720"/>
      <c r="R178" s="720"/>
      <c r="S178" s="720"/>
    </row>
    <row r="179" spans="1:19">
      <c r="A179" s="724"/>
      <c r="B179" s="711"/>
      <c r="C179" s="717"/>
      <c r="D179" s="717"/>
      <c r="E179" s="717"/>
      <c r="F179" s="717"/>
      <c r="G179" s="717"/>
      <c r="H179" s="717"/>
      <c r="I179" s="717"/>
      <c r="J179" s="717"/>
      <c r="K179" s="717"/>
      <c r="L179" s="717"/>
      <c r="M179" s="717"/>
      <c r="N179" s="717"/>
      <c r="O179" s="717"/>
      <c r="P179" s="717"/>
      <c r="Q179" s="717"/>
      <c r="R179" s="717"/>
      <c r="S179" s="717"/>
    </row>
    <row r="180" spans="1:19">
      <c r="A180" s="724">
        <f>+A177+1</f>
        <v>11</v>
      </c>
      <c r="B180" s="707" t="s">
        <v>681</v>
      </c>
      <c r="C180" s="717">
        <f>SUM(M180:O180)</f>
        <v>0</v>
      </c>
      <c r="D180" s="717">
        <f>SUM(Q180:S180)</f>
        <v>0</v>
      </c>
      <c r="E180" s="717"/>
      <c r="F180" s="717"/>
      <c r="G180" s="717">
        <f>ROUND(SUM(C180:F180)/2,0)</f>
        <v>0</v>
      </c>
      <c r="H180" s="717"/>
      <c r="I180" s="717">
        <f>(M180+Q180)/2</f>
        <v>0</v>
      </c>
      <c r="J180" s="717">
        <f>(N180+R180)/2</f>
        <v>0</v>
      </c>
      <c r="K180" s="717">
        <f>(O180+S180)/2</f>
        <v>0</v>
      </c>
      <c r="L180" s="717"/>
      <c r="M180" s="709"/>
      <c r="N180" s="709"/>
      <c r="O180" s="709"/>
      <c r="P180" s="717"/>
      <c r="Q180" s="709"/>
      <c r="R180" s="709"/>
      <c r="S180" s="709"/>
    </row>
    <row r="181" spans="1:19">
      <c r="A181" s="740">
        <f>A180+0.01</f>
        <v>11.01</v>
      </c>
      <c r="B181" s="709"/>
      <c r="C181" s="709"/>
      <c r="D181" s="709"/>
      <c r="E181" s="717">
        <f>-C181</f>
        <v>0</v>
      </c>
      <c r="F181" s="717">
        <f>-D181</f>
        <v>0</v>
      </c>
      <c r="G181" s="717">
        <f>ROUND(SUM(C181:F181)/2,0)</f>
        <v>0</v>
      </c>
      <c r="H181" s="717"/>
      <c r="I181" s="717"/>
      <c r="J181" s="717"/>
      <c r="K181" s="717"/>
      <c r="L181" s="717"/>
      <c r="M181" s="717"/>
      <c r="N181" s="717"/>
      <c r="O181" s="717"/>
      <c r="P181" s="717"/>
      <c r="Q181" s="717"/>
      <c r="R181" s="717"/>
      <c r="S181" s="717"/>
    </row>
    <row r="182" spans="1:19">
      <c r="A182" s="724"/>
      <c r="B182" s="711"/>
      <c r="C182" s="717"/>
      <c r="D182" s="717"/>
      <c r="E182" s="717"/>
      <c r="F182" s="717"/>
      <c r="G182" s="717"/>
      <c r="H182" s="717"/>
      <c r="I182" s="717"/>
      <c r="J182" s="717"/>
      <c r="K182" s="717"/>
      <c r="L182" s="717"/>
      <c r="M182" s="717"/>
      <c r="N182" s="717"/>
      <c r="O182" s="717"/>
      <c r="P182" s="717"/>
      <c r="Q182" s="717"/>
      <c r="R182" s="717"/>
      <c r="S182" s="717"/>
    </row>
    <row r="183" spans="1:19" ht="13.5" thickBot="1">
      <c r="A183" s="724">
        <f>+A180+1</f>
        <v>12</v>
      </c>
      <c r="B183" s="707" t="s">
        <v>682</v>
      </c>
      <c r="C183" s="719">
        <f>SUM(C177:C182)</f>
        <v>0</v>
      </c>
      <c r="D183" s="719">
        <f>SUM(D177:D182)</f>
        <v>0</v>
      </c>
      <c r="E183" s="719">
        <f>SUM(E177:E182)</f>
        <v>0</v>
      </c>
      <c r="F183" s="719">
        <f>SUM(F177:F182)</f>
        <v>0</v>
      </c>
      <c r="G183" s="719">
        <f>SUM(G177:G182)</f>
        <v>0</v>
      </c>
      <c r="H183" s="717"/>
      <c r="I183" s="719">
        <f>SUM(I177:I182)</f>
        <v>0</v>
      </c>
      <c r="J183" s="719">
        <f>SUM(J177:J182)</f>
        <v>0</v>
      </c>
      <c r="K183" s="719">
        <f>SUM(K177:K182)</f>
        <v>0</v>
      </c>
      <c r="L183" s="717"/>
      <c r="M183" s="722">
        <f>SUM(M177:M182)</f>
        <v>0</v>
      </c>
      <c r="N183" s="722">
        <f>SUM(N177:N182)</f>
        <v>0</v>
      </c>
      <c r="O183" s="722">
        <f>SUM(O177:O182)</f>
        <v>0</v>
      </c>
      <c r="P183" s="717"/>
      <c r="Q183" s="719">
        <f>SUM(Q177:Q182)</f>
        <v>0</v>
      </c>
      <c r="R183" s="719">
        <f>SUM(R177:R182)</f>
        <v>0</v>
      </c>
      <c r="S183" s="719">
        <f>SUM(S177:S182)</f>
        <v>0</v>
      </c>
    </row>
    <row r="184" spans="1:19" ht="13.5" thickTop="1">
      <c r="A184" s="724">
        <f>A183+1</f>
        <v>13</v>
      </c>
      <c r="B184" s="711" t="s">
        <v>683</v>
      </c>
      <c r="C184" s="720">
        <f>C106+C139</f>
        <v>0</v>
      </c>
      <c r="D184" s="720">
        <f>D106+D139</f>
        <v>0</v>
      </c>
      <c r="E184" s="720">
        <f>E106+E139</f>
        <v>0</v>
      </c>
      <c r="F184" s="720">
        <f>F106+F139</f>
        <v>0</v>
      </c>
      <c r="G184" s="720">
        <f>G106+G139</f>
        <v>0</v>
      </c>
      <c r="H184" s="717"/>
      <c r="I184" s="720">
        <f>I106+I139</f>
        <v>0</v>
      </c>
      <c r="J184" s="720">
        <f>J106+J139</f>
        <v>0</v>
      </c>
      <c r="K184" s="720">
        <f>K106+K139</f>
        <v>0</v>
      </c>
      <c r="L184" s="717"/>
      <c r="M184" s="720">
        <f>M106+M139</f>
        <v>0</v>
      </c>
      <c r="N184" s="720">
        <f>N106+N139</f>
        <v>0</v>
      </c>
      <c r="O184" s="720">
        <f>O106+O139</f>
        <v>0</v>
      </c>
      <c r="P184" s="717"/>
      <c r="Q184" s="720">
        <f>Q106+Q139</f>
        <v>0</v>
      </c>
      <c r="R184" s="720">
        <f>R106+R139</f>
        <v>0</v>
      </c>
      <c r="S184" s="720">
        <f>S106+S139</f>
        <v>0</v>
      </c>
    </row>
    <row r="185" spans="1:19">
      <c r="A185" s="724"/>
      <c r="B185" s="711"/>
      <c r="C185" s="717"/>
      <c r="D185" s="717"/>
      <c r="E185" s="717"/>
      <c r="F185" s="717"/>
      <c r="G185" s="717"/>
      <c r="H185" s="717"/>
      <c r="I185" s="717"/>
      <c r="J185" s="717"/>
      <c r="K185" s="717"/>
      <c r="L185" s="717"/>
      <c r="M185" s="717"/>
      <c r="N185" s="717"/>
      <c r="O185" s="717"/>
      <c r="P185" s="717"/>
      <c r="Q185" s="717"/>
      <c r="R185" s="717"/>
      <c r="S185" s="717"/>
    </row>
    <row r="186" spans="1:19">
      <c r="A186" s="724">
        <f>+A184+1</f>
        <v>14</v>
      </c>
      <c r="B186" s="707" t="s">
        <v>684</v>
      </c>
      <c r="C186" s="717"/>
      <c r="D186" s="717"/>
      <c r="E186" s="717"/>
      <c r="F186" s="717"/>
      <c r="G186" s="717"/>
      <c r="H186" s="717"/>
      <c r="I186" s="717"/>
      <c r="J186" s="717"/>
      <c r="K186" s="717"/>
      <c r="L186" s="717"/>
      <c r="M186" s="717"/>
      <c r="N186" s="717"/>
      <c r="O186" s="717"/>
      <c r="P186" s="717"/>
      <c r="Q186" s="717"/>
      <c r="R186" s="717"/>
      <c r="S186" s="717"/>
    </row>
    <row r="187" spans="1:19">
      <c r="A187" s="724"/>
      <c r="B187" s="711"/>
      <c r="C187" s="717"/>
      <c r="D187" s="717"/>
      <c r="E187" s="717"/>
      <c r="F187" s="717"/>
      <c r="G187" s="717"/>
      <c r="H187" s="717"/>
      <c r="I187" s="717"/>
      <c r="J187" s="717"/>
      <c r="K187" s="717"/>
      <c r="L187" s="717"/>
      <c r="M187" s="717"/>
      <c r="N187" s="717"/>
      <c r="O187" s="717"/>
      <c r="P187" s="717"/>
      <c r="Q187" s="717"/>
      <c r="R187" s="717"/>
      <c r="S187" s="717"/>
    </row>
    <row r="188" spans="1:19">
      <c r="A188" s="724">
        <f>+A186+1</f>
        <v>15</v>
      </c>
      <c r="B188" s="707" t="s">
        <v>685</v>
      </c>
      <c r="C188" s="717"/>
      <c r="D188" s="717"/>
      <c r="E188" s="717"/>
      <c r="F188" s="717"/>
      <c r="G188" s="717"/>
      <c r="H188" s="717"/>
      <c r="I188" s="717"/>
      <c r="J188" s="717"/>
      <c r="K188" s="717"/>
      <c r="L188" s="717"/>
      <c r="M188" s="717"/>
      <c r="N188" s="717"/>
      <c r="O188" s="717"/>
      <c r="P188" s="717"/>
      <c r="Q188" s="717"/>
      <c r="R188" s="717"/>
      <c r="S188" s="717"/>
    </row>
    <row r="189" spans="1:19">
      <c r="A189" s="724"/>
      <c r="B189" s="711"/>
      <c r="C189" s="717"/>
      <c r="D189" s="717"/>
      <c r="E189" s="717"/>
      <c r="F189" s="717"/>
      <c r="G189" s="717"/>
      <c r="H189" s="717"/>
      <c r="I189" s="717"/>
      <c r="J189" s="717"/>
      <c r="K189" s="717"/>
      <c r="L189" s="717"/>
      <c r="M189" s="717"/>
      <c r="N189" s="717"/>
      <c r="O189" s="717"/>
      <c r="P189" s="717"/>
      <c r="Q189" s="717"/>
      <c r="R189" s="717"/>
      <c r="S189" s="717"/>
    </row>
    <row r="190" spans="1:19">
      <c r="A190" s="724">
        <f>+A188+1</f>
        <v>16</v>
      </c>
      <c r="B190" s="707" t="s">
        <v>686</v>
      </c>
      <c r="C190" s="717"/>
      <c r="D190" s="717"/>
      <c r="E190" s="717"/>
      <c r="F190" s="717"/>
      <c r="G190" s="717"/>
      <c r="H190" s="717"/>
      <c r="I190" s="717"/>
      <c r="J190" s="717"/>
      <c r="K190" s="717"/>
      <c r="L190" s="717"/>
      <c r="M190" s="717"/>
      <c r="N190" s="717"/>
      <c r="O190" s="717"/>
      <c r="P190" s="717"/>
      <c r="Q190" s="717"/>
      <c r="R190" s="717"/>
      <c r="S190" s="717"/>
    </row>
    <row r="191" spans="1:19">
      <c r="A191" s="724"/>
      <c r="B191" s="711"/>
      <c r="C191" s="717"/>
      <c r="D191" s="717"/>
      <c r="E191" s="717"/>
      <c r="F191" s="717"/>
      <c r="G191" s="717"/>
      <c r="H191" s="717"/>
      <c r="I191" s="717"/>
      <c r="J191" s="717"/>
      <c r="K191" s="717"/>
      <c r="L191" s="717"/>
      <c r="M191" s="717"/>
      <c r="N191" s="717"/>
      <c r="O191" s="717"/>
      <c r="P191" s="717"/>
      <c r="Q191" s="717"/>
      <c r="R191" s="717"/>
      <c r="S191" s="717"/>
    </row>
    <row r="192" spans="1:19">
      <c r="A192" s="724">
        <f>+A190+1</f>
        <v>17</v>
      </c>
      <c r="B192" s="707" t="s">
        <v>687</v>
      </c>
      <c r="C192" s="717"/>
      <c r="D192" s="717"/>
      <c r="E192" s="717"/>
      <c r="F192" s="717"/>
      <c r="G192" s="717"/>
      <c r="H192" s="717"/>
      <c r="I192" s="717"/>
      <c r="J192" s="717"/>
      <c r="K192" s="717"/>
      <c r="L192" s="717"/>
      <c r="M192" s="717"/>
      <c r="N192" s="717"/>
      <c r="O192" s="717"/>
      <c r="P192" s="717"/>
      <c r="Q192" s="717"/>
      <c r="R192" s="717"/>
      <c r="S192" s="717"/>
    </row>
    <row r="193" spans="1:19">
      <c r="A193" s="724">
        <f>A192+1</f>
        <v>18</v>
      </c>
      <c r="B193" s="707" t="s">
        <v>688</v>
      </c>
      <c r="C193" s="717"/>
      <c r="D193" s="717"/>
      <c r="E193" s="717"/>
      <c r="F193" s="717"/>
      <c r="G193" s="717"/>
      <c r="H193" s="717"/>
      <c r="I193" s="717"/>
      <c r="J193" s="717"/>
      <c r="K193" s="717"/>
      <c r="L193" s="717"/>
      <c r="M193" s="717"/>
      <c r="N193" s="717"/>
      <c r="O193" s="717"/>
      <c r="P193" s="717"/>
      <c r="Q193" s="709"/>
      <c r="R193" s="717"/>
      <c r="S193" s="717"/>
    </row>
    <row r="194" spans="1:19">
      <c r="A194" s="740">
        <f>A193+0.01</f>
        <v>18.010000000000002</v>
      </c>
      <c r="B194" s="709"/>
      <c r="C194" s="717">
        <f>SUM(M194:O194)</f>
        <v>0</v>
      </c>
      <c r="D194" s="717">
        <f>SUM(Q194:S194)</f>
        <v>0</v>
      </c>
      <c r="E194" s="717"/>
      <c r="F194" s="717"/>
      <c r="G194" s="717">
        <f>ROUND(SUM(C194:F194)/2,0)</f>
        <v>0</v>
      </c>
      <c r="H194" s="717"/>
      <c r="I194" s="717">
        <f t="shared" ref="I194:K195" si="24">(M194+Q194)/2</f>
        <v>0</v>
      </c>
      <c r="J194" s="717">
        <f t="shared" si="24"/>
        <v>0</v>
      </c>
      <c r="K194" s="717">
        <f t="shared" si="24"/>
        <v>0</v>
      </c>
      <c r="L194" s="717"/>
      <c r="M194" s="709"/>
      <c r="N194" s="709"/>
      <c r="O194" s="709"/>
      <c r="P194" s="717"/>
      <c r="Q194" s="709"/>
      <c r="R194" s="709"/>
      <c r="S194" s="709"/>
    </row>
    <row r="195" spans="1:19">
      <c r="A195" s="740">
        <f>A194+0.01</f>
        <v>18.020000000000003</v>
      </c>
      <c r="B195" s="709"/>
      <c r="C195" s="717">
        <f>SUM(M195:O195)</f>
        <v>0</v>
      </c>
      <c r="D195" s="717">
        <f>SUM(Q195:S195)</f>
        <v>0</v>
      </c>
      <c r="E195" s="717"/>
      <c r="F195" s="717"/>
      <c r="G195" s="717">
        <f>ROUND(SUM(C195:F195)/2,0)</f>
        <v>0</v>
      </c>
      <c r="H195" s="717"/>
      <c r="I195" s="717">
        <f t="shared" si="24"/>
        <v>0</v>
      </c>
      <c r="J195" s="717">
        <f t="shared" si="24"/>
        <v>0</v>
      </c>
      <c r="K195" s="717">
        <f t="shared" si="24"/>
        <v>0</v>
      </c>
      <c r="L195" s="717"/>
      <c r="M195" s="709"/>
      <c r="N195" s="709"/>
      <c r="O195" s="709"/>
      <c r="P195" s="717"/>
      <c r="Q195" s="709"/>
      <c r="R195" s="709"/>
      <c r="S195" s="709"/>
    </row>
    <row r="196" spans="1:19">
      <c r="A196" s="724">
        <f>INT(A195)+1</f>
        <v>19</v>
      </c>
      <c r="C196" s="717"/>
      <c r="D196" s="717"/>
      <c r="E196" s="717"/>
      <c r="F196" s="717"/>
      <c r="G196" s="717"/>
      <c r="H196" s="717"/>
      <c r="I196" s="717"/>
      <c r="J196" s="717"/>
      <c r="K196" s="717"/>
      <c r="L196" s="717"/>
      <c r="M196" s="717"/>
      <c r="N196" s="717"/>
      <c r="O196" s="717"/>
      <c r="P196" s="717"/>
      <c r="Q196" s="717"/>
      <c r="R196" s="717"/>
      <c r="S196" s="717"/>
    </row>
    <row r="197" spans="1:19">
      <c r="A197" s="724">
        <f>A196+1</f>
        <v>20</v>
      </c>
      <c r="B197" s="707" t="s">
        <v>689</v>
      </c>
      <c r="C197" s="719">
        <f>SUM(C194:C196)</f>
        <v>0</v>
      </c>
      <c r="D197" s="719">
        <f>SUM(D194:D196)</f>
        <v>0</v>
      </c>
      <c r="E197" s="719">
        <f>SUM(E194:E196)</f>
        <v>0</v>
      </c>
      <c r="F197" s="719">
        <f>SUM(F194:F196)</f>
        <v>0</v>
      </c>
      <c r="G197" s="719">
        <f>SUM(G194:G196)</f>
        <v>0</v>
      </c>
      <c r="H197" s="717"/>
      <c r="I197" s="719">
        <f>SUM(I194:I196)</f>
        <v>0</v>
      </c>
      <c r="J197" s="719">
        <f>SUM(J194:J196)</f>
        <v>0</v>
      </c>
      <c r="K197" s="719">
        <f>SUM(K194:K196)</f>
        <v>0</v>
      </c>
      <c r="L197" s="717"/>
      <c r="M197" s="719">
        <f>SUM(M194:M196)</f>
        <v>0</v>
      </c>
      <c r="N197" s="719">
        <f>SUM(N194:N196)</f>
        <v>0</v>
      </c>
      <c r="O197" s="719">
        <f>SUM(O194:O196)</f>
        <v>0</v>
      </c>
      <c r="P197" s="717"/>
      <c r="Q197" s="719">
        <f>SUM(Q194:Q196)</f>
        <v>0</v>
      </c>
      <c r="R197" s="719">
        <f>SUM(R194:R196)</f>
        <v>0</v>
      </c>
      <c r="S197" s="719">
        <f>SUM(S194:S196)</f>
        <v>0</v>
      </c>
    </row>
  </sheetData>
  <pageMargins left="0.7" right="0.7" top="0.75" bottom="0.75" header="0.3" footer="0.3"/>
  <pageSetup scale="3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IV111"/>
  <sheetViews>
    <sheetView view="pageBreakPreview" zoomScale="60" zoomScaleNormal="100" workbookViewId="0">
      <selection activeCell="G141" sqref="G141"/>
    </sheetView>
  </sheetViews>
  <sheetFormatPr defaultRowHeight="12.75"/>
  <cols>
    <col min="1" max="1" width="6" style="707" customWidth="1"/>
    <col min="2" max="2" width="54.5703125" style="707" bestFit="1" customWidth="1"/>
    <col min="3" max="3" width="13.42578125" style="707" bestFit="1" customWidth="1"/>
    <col min="4" max="4" width="12.85546875" style="707" bestFit="1" customWidth="1"/>
    <col min="5" max="6" width="17" style="707" customWidth="1"/>
    <col min="7" max="7" width="15.28515625" style="707" bestFit="1" customWidth="1"/>
    <col min="8" max="8" width="9.140625" style="707"/>
    <col min="9" max="9" width="13.140625" style="707" bestFit="1" customWidth="1"/>
    <col min="10" max="10" width="15" style="707" bestFit="1" customWidth="1"/>
    <col min="11" max="11" width="13.5703125" style="707" bestFit="1" customWidth="1"/>
    <col min="12" max="12" width="9.140625" style="707"/>
    <col min="13" max="13" width="13.140625" style="707" bestFit="1" customWidth="1"/>
    <col min="14" max="14" width="15" style="707" bestFit="1" customWidth="1"/>
    <col min="15" max="15" width="13.5703125" style="707" bestFit="1" customWidth="1"/>
    <col min="16" max="16" width="9.140625" style="707"/>
    <col min="17" max="17" width="13.140625" style="707" bestFit="1" customWidth="1"/>
    <col min="18" max="18" width="15" style="707" bestFit="1" customWidth="1"/>
    <col min="19" max="19" width="13.5703125" style="707" bestFit="1" customWidth="1"/>
    <col min="20" max="16384" width="9.140625" style="707"/>
  </cols>
  <sheetData>
    <row r="1" spans="1:19">
      <c r="A1" s="725"/>
      <c r="B1" s="739" t="str">
        <f>TCOS!F9</f>
        <v>AEP Kentucky Transmission Company</v>
      </c>
      <c r="C1" s="711"/>
      <c r="D1" s="711"/>
      <c r="E1" s="711"/>
      <c r="F1" s="711"/>
      <c r="M1" s="711"/>
      <c r="N1" s="711"/>
      <c r="P1" s="711"/>
      <c r="Q1" s="711"/>
      <c r="R1" s="711"/>
    </row>
    <row r="2" spans="1:19">
      <c r="A2" s="725"/>
      <c r="B2" s="710" t="s">
        <v>690</v>
      </c>
      <c r="C2" s="711"/>
      <c r="D2" s="711"/>
      <c r="E2" s="711"/>
      <c r="F2" s="711"/>
      <c r="M2" s="711"/>
      <c r="N2" s="711"/>
      <c r="P2" s="711"/>
      <c r="Q2" s="711"/>
      <c r="R2" s="711"/>
    </row>
    <row r="3" spans="1:19">
      <c r="A3" s="725"/>
      <c r="B3" s="710" t="str">
        <f>"PERIOD ENDED DECEMBER 31, "&amp;TCOS!L4</f>
        <v>PERIOD ENDED DECEMBER 31, 2026</v>
      </c>
      <c r="C3" s="711"/>
      <c r="D3" s="711"/>
      <c r="E3" s="711"/>
      <c r="F3" s="711"/>
      <c r="G3" s="711"/>
      <c r="H3" s="711"/>
      <c r="I3" s="711"/>
      <c r="J3" s="711"/>
      <c r="K3" s="711"/>
      <c r="L3" s="711"/>
      <c r="M3" s="711"/>
      <c r="N3" s="711"/>
      <c r="O3" s="711"/>
      <c r="P3" s="711"/>
      <c r="Q3" s="711"/>
      <c r="R3" s="711"/>
      <c r="S3" s="711"/>
    </row>
    <row r="4" spans="1:19">
      <c r="A4" s="725"/>
      <c r="B4" s="716"/>
      <c r="C4" s="711"/>
      <c r="D4" s="711"/>
      <c r="E4" s="711"/>
      <c r="F4" s="711"/>
      <c r="G4" s="708" t="s">
        <v>691</v>
      </c>
      <c r="H4" s="711"/>
      <c r="I4" s="711"/>
      <c r="J4" s="711"/>
      <c r="K4" s="711"/>
      <c r="L4" s="711"/>
      <c r="M4" s="711"/>
      <c r="N4" s="711"/>
      <c r="O4" s="711"/>
      <c r="P4" s="711"/>
      <c r="Q4" s="711"/>
      <c r="R4" s="711"/>
      <c r="S4" s="711"/>
    </row>
    <row r="5" spans="1:19">
      <c r="A5" s="725"/>
      <c r="B5" s="711"/>
      <c r="C5" s="711"/>
      <c r="D5" s="711"/>
      <c r="E5" s="711"/>
      <c r="F5" s="711"/>
      <c r="G5" s="711"/>
      <c r="H5" s="711"/>
      <c r="I5" s="711"/>
      <c r="J5" s="711"/>
      <c r="K5" s="711"/>
      <c r="L5" s="711"/>
      <c r="M5" s="711"/>
      <c r="N5" s="711"/>
      <c r="O5" s="711"/>
      <c r="P5" s="711"/>
      <c r="Q5" s="711"/>
      <c r="R5" s="711"/>
      <c r="S5" s="711"/>
    </row>
    <row r="6" spans="1:19">
      <c r="A6" s="725"/>
      <c r="B6" s="711"/>
      <c r="C6" s="711"/>
      <c r="D6" s="711"/>
      <c r="E6" s="711"/>
      <c r="F6" s="711"/>
      <c r="G6" s="711"/>
      <c r="H6" s="708"/>
      <c r="I6" s="708"/>
      <c r="J6" s="708"/>
      <c r="K6" s="708"/>
      <c r="L6" s="708"/>
      <c r="M6" s="711"/>
      <c r="N6" s="711"/>
      <c r="O6" s="711"/>
      <c r="P6" s="711"/>
      <c r="Q6" s="711"/>
      <c r="R6" s="711"/>
      <c r="S6" s="711"/>
    </row>
    <row r="7" spans="1:19">
      <c r="A7" s="725"/>
      <c r="B7" s="711"/>
      <c r="C7" s="711"/>
      <c r="D7" s="711"/>
      <c r="E7" s="711"/>
      <c r="F7" s="711"/>
      <c r="G7" s="711"/>
      <c r="H7" s="711"/>
      <c r="I7" s="711"/>
      <c r="J7" s="711"/>
      <c r="K7" s="711"/>
      <c r="L7" s="711"/>
      <c r="M7" s="711"/>
      <c r="N7" s="711"/>
      <c r="O7" s="711"/>
      <c r="P7" s="711"/>
      <c r="Q7" s="711"/>
      <c r="R7" s="711"/>
      <c r="S7" s="711"/>
    </row>
    <row r="8" spans="1:19">
      <c r="A8" s="725"/>
      <c r="B8" s="712" t="s">
        <v>647</v>
      </c>
      <c r="C8" s="712" t="s">
        <v>648</v>
      </c>
      <c r="D8" s="712" t="s">
        <v>649</v>
      </c>
      <c r="E8" s="712" t="s">
        <v>650</v>
      </c>
      <c r="F8" s="712" t="s">
        <v>651</v>
      </c>
      <c r="G8" s="712" t="s">
        <v>652</v>
      </c>
      <c r="H8" s="712"/>
      <c r="I8" s="712" t="s">
        <v>653</v>
      </c>
      <c r="J8" s="712" t="s">
        <v>654</v>
      </c>
      <c r="K8" s="712" t="s">
        <v>655</v>
      </c>
      <c r="L8" s="712"/>
      <c r="M8" s="712" t="s">
        <v>656</v>
      </c>
      <c r="N8" s="712" t="s">
        <v>657</v>
      </c>
      <c r="O8" s="712" t="s">
        <v>658</v>
      </c>
      <c r="P8" s="711"/>
      <c r="Q8" s="712" t="s">
        <v>659</v>
      </c>
      <c r="R8" s="712" t="s">
        <v>660</v>
      </c>
      <c r="S8" s="712" t="s">
        <v>661</v>
      </c>
    </row>
    <row r="9" spans="1:19">
      <c r="A9" s="725"/>
      <c r="B9" s="711"/>
      <c r="C9" s="711"/>
      <c r="D9" s="711"/>
      <c r="E9" s="711"/>
      <c r="F9" s="711"/>
      <c r="G9" s="711"/>
      <c r="H9" s="711"/>
      <c r="I9" s="711"/>
      <c r="J9" s="711"/>
      <c r="K9" s="711"/>
      <c r="L9" s="711"/>
      <c r="M9" s="711"/>
      <c r="N9" s="711"/>
      <c r="O9" s="711"/>
      <c r="P9" s="711"/>
      <c r="Q9" s="711"/>
      <c r="R9" s="711"/>
      <c r="S9" s="711"/>
    </row>
    <row r="10" spans="1:19">
      <c r="A10" s="725"/>
      <c r="B10" s="711"/>
      <c r="C10" s="713" t="s">
        <v>662</v>
      </c>
      <c r="D10" s="713"/>
      <c r="E10" s="714" t="s">
        <v>663</v>
      </c>
      <c r="F10" s="713"/>
      <c r="G10" s="708" t="s">
        <v>664</v>
      </c>
      <c r="H10" s="708"/>
      <c r="I10" s="713" t="s">
        <v>665</v>
      </c>
      <c r="J10" s="713"/>
      <c r="K10" s="713"/>
      <c r="L10" s="708"/>
      <c r="M10" s="713" t="str">
        <f>"FUNCTIONALIZATION 12/31/"&amp;TCOS!L4-1</f>
        <v>FUNCTIONALIZATION 12/31/2025</v>
      </c>
      <c r="N10" s="713"/>
      <c r="O10" s="713"/>
      <c r="P10" s="711"/>
      <c r="Q10" s="713" t="str">
        <f>"FUNCTIONALIZATION 12/31/"&amp;TCOS!L4</f>
        <v>FUNCTIONALIZATION 12/31/2026</v>
      </c>
      <c r="R10" s="713"/>
      <c r="S10" s="713"/>
    </row>
    <row r="11" spans="1:19">
      <c r="A11" s="725"/>
      <c r="B11" s="711"/>
      <c r="C11" s="715"/>
      <c r="D11" s="715"/>
      <c r="E11" s="711"/>
      <c r="F11" s="711"/>
      <c r="G11" s="708" t="s">
        <v>666</v>
      </c>
      <c r="H11" s="708"/>
      <c r="I11" s="715"/>
      <c r="J11" s="715"/>
      <c r="K11" s="715"/>
      <c r="L11" s="708"/>
      <c r="M11" s="715"/>
      <c r="N11" s="715"/>
      <c r="O11" s="715"/>
      <c r="P11" s="711"/>
      <c r="Q11" s="715"/>
      <c r="R11" s="715"/>
      <c r="S11" s="715"/>
    </row>
    <row r="12" spans="1:19">
      <c r="A12" s="725"/>
      <c r="B12" s="711"/>
      <c r="C12" s="708" t="s">
        <v>667</v>
      </c>
      <c r="D12" s="708" t="s">
        <v>667</v>
      </c>
      <c r="E12" s="708" t="s">
        <v>667</v>
      </c>
      <c r="F12" s="708" t="s">
        <v>667</v>
      </c>
      <c r="G12" s="708" t="s">
        <v>668</v>
      </c>
      <c r="H12" s="708"/>
      <c r="I12" s="711"/>
      <c r="J12" s="711"/>
      <c r="K12" s="711"/>
      <c r="L12" s="708"/>
      <c r="M12" s="711"/>
      <c r="N12" s="711"/>
      <c r="O12" s="711"/>
      <c r="P12" s="711"/>
      <c r="Q12" s="711"/>
      <c r="R12" s="711"/>
      <c r="S12" s="711"/>
    </row>
    <row r="13" spans="1:19">
      <c r="A13" s="725"/>
      <c r="B13" s="712" t="s">
        <v>669</v>
      </c>
      <c r="C13" s="712" t="str">
        <f>"OF 12-31-"&amp;TCOS!L4-1</f>
        <v>OF 12-31-2025</v>
      </c>
      <c r="D13" s="712" t="str">
        <f>"OF 12-31-"&amp;TCOS!L4</f>
        <v>OF 12-31-2026</v>
      </c>
      <c r="E13" s="712" t="str">
        <f>"OF 12-31-"&amp;TCOS!L4-1</f>
        <v>OF 12-31-2025</v>
      </c>
      <c r="F13" s="712" t="str">
        <f>"OF 12-31-"&amp;TCOS!L4</f>
        <v>OF 12-31-2026</v>
      </c>
      <c r="G13" s="712" t="s">
        <v>670</v>
      </c>
      <c r="H13" s="712"/>
      <c r="I13" s="712" t="s">
        <v>671</v>
      </c>
      <c r="J13" s="712" t="s">
        <v>672</v>
      </c>
      <c r="K13" s="712" t="s">
        <v>673</v>
      </c>
      <c r="L13" s="712"/>
      <c r="M13" s="712" t="s">
        <v>671</v>
      </c>
      <c r="N13" s="712" t="s">
        <v>672</v>
      </c>
      <c r="O13" s="712" t="s">
        <v>673</v>
      </c>
      <c r="P13" s="711"/>
      <c r="Q13" s="712" t="s">
        <v>671</v>
      </c>
      <c r="R13" s="712" t="s">
        <v>672</v>
      </c>
      <c r="S13" s="712" t="s">
        <v>673</v>
      </c>
    </row>
    <row r="14" spans="1:19">
      <c r="A14" s="725"/>
      <c r="B14" s="711"/>
      <c r="C14" s="711"/>
      <c r="D14" s="711"/>
      <c r="E14" s="711"/>
      <c r="F14" s="711"/>
      <c r="G14" s="711"/>
      <c r="H14" s="711"/>
      <c r="I14" s="711"/>
      <c r="J14" s="711"/>
      <c r="K14" s="711"/>
      <c r="L14" s="711"/>
      <c r="M14" s="711"/>
      <c r="N14" s="711"/>
      <c r="O14" s="711"/>
      <c r="P14" s="711"/>
      <c r="Q14" s="711"/>
      <c r="R14" s="711"/>
      <c r="S14" s="711"/>
    </row>
    <row r="15" spans="1:19">
      <c r="A15" s="726">
        <v>1</v>
      </c>
      <c r="B15" s="717" t="s">
        <v>692</v>
      </c>
      <c r="C15" s="717"/>
      <c r="D15" s="717"/>
      <c r="E15" s="717"/>
      <c r="F15" s="718"/>
      <c r="G15" s="717"/>
      <c r="H15" s="717"/>
      <c r="I15" s="717"/>
      <c r="J15" s="717"/>
      <c r="K15" s="717"/>
      <c r="L15" s="717"/>
      <c r="M15" s="717"/>
      <c r="N15" s="717"/>
      <c r="O15" s="717"/>
      <c r="P15" s="717"/>
      <c r="Q15" s="717"/>
      <c r="R15" s="717"/>
      <c r="S15" s="717"/>
    </row>
    <row r="16" spans="1:19">
      <c r="A16" s="726"/>
      <c r="B16" s="717"/>
      <c r="C16" s="717"/>
      <c r="D16" s="717"/>
      <c r="E16" s="717"/>
      <c r="F16" s="717"/>
      <c r="G16" s="717"/>
      <c r="H16" s="717"/>
      <c r="I16" s="717"/>
      <c r="J16" s="717"/>
      <c r="K16" s="717"/>
      <c r="L16" s="717"/>
      <c r="M16" s="717"/>
      <c r="N16" s="717"/>
      <c r="O16" s="717"/>
      <c r="P16" s="717"/>
      <c r="Q16" s="717"/>
      <c r="R16" s="717"/>
      <c r="S16" s="717"/>
    </row>
    <row r="17" spans="1:19">
      <c r="A17" s="731">
        <v>2.0099999999999998</v>
      </c>
      <c r="B17" s="709"/>
      <c r="C17" s="717">
        <f t="shared" ref="C17:C80" si="0">SUM(M17:O17)</f>
        <v>0</v>
      </c>
      <c r="D17" s="717">
        <f t="shared" ref="D17:D80" si="1">SUM(Q17:S17)</f>
        <v>0</v>
      </c>
      <c r="E17" s="717"/>
      <c r="F17" s="717"/>
      <c r="G17" s="717">
        <f t="shared" ref="G17:G80" si="2">ROUND(SUM(C17:F17)/2,0)</f>
        <v>0</v>
      </c>
      <c r="H17" s="717"/>
      <c r="I17" s="717">
        <f t="shared" ref="I17:K48" si="3">(M17+Q17)/2</f>
        <v>0</v>
      </c>
      <c r="J17" s="717">
        <f t="shared" si="3"/>
        <v>0</v>
      </c>
      <c r="K17" s="717">
        <f t="shared" si="3"/>
        <v>0</v>
      </c>
      <c r="L17" s="717"/>
      <c r="M17" s="709"/>
      <c r="N17" s="709"/>
      <c r="O17" s="709"/>
      <c r="P17" s="717"/>
      <c r="Q17" s="709"/>
      <c r="R17" s="709"/>
      <c r="S17" s="709"/>
    </row>
    <row r="18" spans="1:19">
      <c r="A18" s="731">
        <f>A17+0.01</f>
        <v>2.0199999999999996</v>
      </c>
      <c r="B18" s="709"/>
      <c r="C18" s="717">
        <f t="shared" si="0"/>
        <v>0</v>
      </c>
      <c r="D18" s="717">
        <f t="shared" si="1"/>
        <v>0</v>
      </c>
      <c r="E18" s="717"/>
      <c r="F18" s="717"/>
      <c r="G18" s="717">
        <f t="shared" si="2"/>
        <v>0</v>
      </c>
      <c r="H18" s="717"/>
      <c r="I18" s="717">
        <f t="shared" si="3"/>
        <v>0</v>
      </c>
      <c r="J18" s="717">
        <f t="shared" si="3"/>
        <v>0</v>
      </c>
      <c r="K18" s="717">
        <f t="shared" si="3"/>
        <v>0</v>
      </c>
      <c r="L18" s="717"/>
      <c r="M18" s="709"/>
      <c r="N18" s="709"/>
      <c r="O18" s="709"/>
      <c r="P18" s="717"/>
      <c r="Q18" s="709"/>
      <c r="R18" s="709"/>
      <c r="S18" s="709"/>
    </row>
    <row r="19" spans="1:19">
      <c r="A19" s="731">
        <f t="shared" ref="A19:A82" si="4">A18+0.01</f>
        <v>2.0299999999999994</v>
      </c>
      <c r="B19" s="709"/>
      <c r="C19" s="717">
        <f t="shared" si="0"/>
        <v>0</v>
      </c>
      <c r="D19" s="717">
        <f t="shared" si="1"/>
        <v>0</v>
      </c>
      <c r="E19" s="717"/>
      <c r="F19" s="717"/>
      <c r="G19" s="717">
        <f t="shared" si="2"/>
        <v>0</v>
      </c>
      <c r="H19" s="717"/>
      <c r="I19" s="717">
        <f t="shared" si="3"/>
        <v>0</v>
      </c>
      <c r="J19" s="717">
        <f t="shared" si="3"/>
        <v>0</v>
      </c>
      <c r="K19" s="717">
        <f t="shared" si="3"/>
        <v>0</v>
      </c>
      <c r="L19" s="717"/>
      <c r="M19" s="709"/>
      <c r="N19" s="709"/>
      <c r="O19" s="709"/>
      <c r="P19" s="717"/>
      <c r="Q19" s="709"/>
      <c r="R19" s="709"/>
      <c r="S19" s="709"/>
    </row>
    <row r="20" spans="1:19">
      <c r="A20" s="731">
        <f t="shared" si="4"/>
        <v>2.0399999999999991</v>
      </c>
      <c r="B20" s="709"/>
      <c r="C20" s="717">
        <f t="shared" si="0"/>
        <v>0</v>
      </c>
      <c r="D20" s="717">
        <f t="shared" si="1"/>
        <v>0</v>
      </c>
      <c r="E20" s="717"/>
      <c r="F20" s="717"/>
      <c r="G20" s="717">
        <f t="shared" si="2"/>
        <v>0</v>
      </c>
      <c r="H20" s="717"/>
      <c r="I20" s="717">
        <f t="shared" si="3"/>
        <v>0</v>
      </c>
      <c r="J20" s="717">
        <f t="shared" si="3"/>
        <v>0</v>
      </c>
      <c r="K20" s="717">
        <f t="shared" si="3"/>
        <v>0</v>
      </c>
      <c r="L20" s="717"/>
      <c r="M20" s="709"/>
      <c r="N20" s="709"/>
      <c r="O20" s="709"/>
      <c r="P20" s="717"/>
      <c r="Q20" s="709"/>
      <c r="R20" s="709"/>
      <c r="S20" s="709"/>
    </row>
    <row r="21" spans="1:19">
      <c r="A21" s="731">
        <f t="shared" si="4"/>
        <v>2.0499999999999989</v>
      </c>
      <c r="B21" s="709"/>
      <c r="C21" s="717">
        <f t="shared" si="0"/>
        <v>0</v>
      </c>
      <c r="D21" s="717">
        <f t="shared" si="1"/>
        <v>0</v>
      </c>
      <c r="E21" s="717"/>
      <c r="F21" s="717"/>
      <c r="G21" s="717">
        <f t="shared" si="2"/>
        <v>0</v>
      </c>
      <c r="H21" s="717"/>
      <c r="I21" s="717">
        <f t="shared" si="3"/>
        <v>0</v>
      </c>
      <c r="J21" s="717">
        <f t="shared" si="3"/>
        <v>0</v>
      </c>
      <c r="K21" s="717">
        <f t="shared" si="3"/>
        <v>0</v>
      </c>
      <c r="L21" s="717"/>
      <c r="M21" s="709"/>
      <c r="N21" s="709"/>
      <c r="O21" s="709"/>
      <c r="P21" s="717"/>
      <c r="Q21" s="709"/>
      <c r="R21" s="709"/>
      <c r="S21" s="709"/>
    </row>
    <row r="22" spans="1:19">
      <c r="A22" s="731">
        <f t="shared" si="4"/>
        <v>2.0599999999999987</v>
      </c>
      <c r="B22" s="709"/>
      <c r="C22" s="717">
        <f t="shared" si="0"/>
        <v>0</v>
      </c>
      <c r="D22" s="717">
        <f t="shared" si="1"/>
        <v>0</v>
      </c>
      <c r="E22" s="717"/>
      <c r="F22" s="717"/>
      <c r="G22" s="717">
        <f t="shared" si="2"/>
        <v>0</v>
      </c>
      <c r="H22" s="717"/>
      <c r="I22" s="717">
        <f t="shared" si="3"/>
        <v>0</v>
      </c>
      <c r="J22" s="717">
        <f t="shared" si="3"/>
        <v>0</v>
      </c>
      <c r="K22" s="717">
        <f t="shared" si="3"/>
        <v>0</v>
      </c>
      <c r="L22" s="717"/>
      <c r="M22" s="709"/>
      <c r="N22" s="709"/>
      <c r="O22" s="709"/>
      <c r="P22" s="717"/>
      <c r="Q22" s="709"/>
      <c r="R22" s="709"/>
      <c r="S22" s="709"/>
    </row>
    <row r="23" spans="1:19">
      <c r="A23" s="731">
        <f t="shared" si="4"/>
        <v>2.0699999999999985</v>
      </c>
      <c r="B23" s="709"/>
      <c r="C23" s="717">
        <f t="shared" si="0"/>
        <v>0</v>
      </c>
      <c r="D23" s="717">
        <f t="shared" si="1"/>
        <v>0</v>
      </c>
      <c r="E23" s="717"/>
      <c r="F23" s="717"/>
      <c r="G23" s="717">
        <f t="shared" si="2"/>
        <v>0</v>
      </c>
      <c r="H23" s="717"/>
      <c r="I23" s="717">
        <f t="shared" si="3"/>
        <v>0</v>
      </c>
      <c r="J23" s="717">
        <f t="shared" si="3"/>
        <v>0</v>
      </c>
      <c r="K23" s="717">
        <f t="shared" si="3"/>
        <v>0</v>
      </c>
      <c r="L23" s="717"/>
      <c r="M23" s="709"/>
      <c r="N23" s="709"/>
      <c r="O23" s="709"/>
      <c r="P23" s="717"/>
      <c r="Q23" s="709"/>
      <c r="R23" s="709"/>
      <c r="S23" s="709"/>
    </row>
    <row r="24" spans="1:19" hidden="1">
      <c r="A24" s="731">
        <f t="shared" si="4"/>
        <v>2.0799999999999983</v>
      </c>
      <c r="B24" s="709"/>
      <c r="C24" s="717">
        <f t="shared" si="0"/>
        <v>0</v>
      </c>
      <c r="D24" s="717">
        <f t="shared" si="1"/>
        <v>0</v>
      </c>
      <c r="E24" s="717"/>
      <c r="F24" s="717"/>
      <c r="G24" s="717">
        <f t="shared" si="2"/>
        <v>0</v>
      </c>
      <c r="H24" s="717"/>
      <c r="I24" s="717">
        <f t="shared" si="3"/>
        <v>0</v>
      </c>
      <c r="J24" s="717">
        <f t="shared" si="3"/>
        <v>0</v>
      </c>
      <c r="K24" s="717">
        <f t="shared" si="3"/>
        <v>0</v>
      </c>
      <c r="L24" s="717"/>
      <c r="M24" s="709"/>
      <c r="N24" s="709"/>
      <c r="O24" s="709"/>
      <c r="P24" s="717"/>
      <c r="Q24" s="709"/>
      <c r="R24" s="709"/>
      <c r="S24" s="709"/>
    </row>
    <row r="25" spans="1:19" hidden="1">
      <c r="A25" s="731">
        <f t="shared" si="4"/>
        <v>2.0899999999999981</v>
      </c>
      <c r="B25" s="709"/>
      <c r="C25" s="717">
        <f t="shared" si="0"/>
        <v>0</v>
      </c>
      <c r="D25" s="717">
        <f t="shared" si="1"/>
        <v>0</v>
      </c>
      <c r="E25" s="717"/>
      <c r="F25" s="717"/>
      <c r="G25" s="717">
        <f t="shared" si="2"/>
        <v>0</v>
      </c>
      <c r="H25" s="717"/>
      <c r="I25" s="717">
        <f t="shared" si="3"/>
        <v>0</v>
      </c>
      <c r="J25" s="717">
        <f t="shared" si="3"/>
        <v>0</v>
      </c>
      <c r="K25" s="717">
        <f t="shared" si="3"/>
        <v>0</v>
      </c>
      <c r="L25" s="717"/>
      <c r="M25" s="709"/>
      <c r="N25" s="709"/>
      <c r="O25" s="709"/>
      <c r="P25" s="717"/>
      <c r="Q25" s="709"/>
      <c r="R25" s="709"/>
      <c r="S25" s="709"/>
    </row>
    <row r="26" spans="1:19" hidden="1">
      <c r="A26" s="731">
        <f t="shared" si="4"/>
        <v>2.0999999999999979</v>
      </c>
      <c r="B26" s="709"/>
      <c r="C26" s="717">
        <f t="shared" si="0"/>
        <v>0</v>
      </c>
      <c r="D26" s="717">
        <f t="shared" si="1"/>
        <v>0</v>
      </c>
      <c r="E26" s="717"/>
      <c r="F26" s="717"/>
      <c r="G26" s="717">
        <f t="shared" si="2"/>
        <v>0</v>
      </c>
      <c r="H26" s="717"/>
      <c r="I26" s="717">
        <f t="shared" si="3"/>
        <v>0</v>
      </c>
      <c r="J26" s="717">
        <f t="shared" si="3"/>
        <v>0</v>
      </c>
      <c r="K26" s="717">
        <f t="shared" si="3"/>
        <v>0</v>
      </c>
      <c r="L26" s="717"/>
      <c r="M26" s="709"/>
      <c r="N26" s="709"/>
      <c r="O26" s="709"/>
      <c r="P26" s="717"/>
      <c r="Q26" s="709"/>
      <c r="R26" s="709"/>
      <c r="S26" s="709"/>
    </row>
    <row r="27" spans="1:19" hidden="1">
      <c r="A27" s="731">
        <f t="shared" si="4"/>
        <v>2.1099999999999977</v>
      </c>
      <c r="B27" s="709"/>
      <c r="C27" s="717">
        <f t="shared" si="0"/>
        <v>0</v>
      </c>
      <c r="D27" s="717">
        <f t="shared" si="1"/>
        <v>0</v>
      </c>
      <c r="E27" s="717"/>
      <c r="F27" s="717"/>
      <c r="G27" s="717">
        <f t="shared" si="2"/>
        <v>0</v>
      </c>
      <c r="H27" s="717"/>
      <c r="I27" s="717">
        <f t="shared" si="3"/>
        <v>0</v>
      </c>
      <c r="J27" s="717">
        <f t="shared" si="3"/>
        <v>0</v>
      </c>
      <c r="K27" s="717">
        <f t="shared" si="3"/>
        <v>0</v>
      </c>
      <c r="L27" s="717"/>
      <c r="M27" s="709"/>
      <c r="N27" s="709"/>
      <c r="O27" s="709"/>
      <c r="P27" s="717"/>
      <c r="Q27" s="709"/>
      <c r="R27" s="709"/>
      <c r="S27" s="709"/>
    </row>
    <row r="28" spans="1:19" hidden="1">
      <c r="A28" s="731">
        <f t="shared" si="4"/>
        <v>2.1199999999999974</v>
      </c>
      <c r="B28" s="709"/>
      <c r="C28" s="717">
        <f t="shared" si="0"/>
        <v>0</v>
      </c>
      <c r="D28" s="717">
        <f t="shared" si="1"/>
        <v>0</v>
      </c>
      <c r="E28" s="717"/>
      <c r="F28" s="717"/>
      <c r="G28" s="717">
        <f t="shared" si="2"/>
        <v>0</v>
      </c>
      <c r="H28" s="717"/>
      <c r="I28" s="717">
        <f t="shared" si="3"/>
        <v>0</v>
      </c>
      <c r="J28" s="717">
        <f t="shared" si="3"/>
        <v>0</v>
      </c>
      <c r="K28" s="717">
        <f t="shared" si="3"/>
        <v>0</v>
      </c>
      <c r="L28" s="717"/>
      <c r="M28" s="709"/>
      <c r="N28" s="709"/>
      <c r="O28" s="709"/>
      <c r="P28" s="717"/>
      <c r="Q28" s="709"/>
      <c r="R28" s="709"/>
      <c r="S28" s="709"/>
    </row>
    <row r="29" spans="1:19" hidden="1">
      <c r="A29" s="731">
        <f t="shared" si="4"/>
        <v>2.1299999999999972</v>
      </c>
      <c r="B29" s="709"/>
      <c r="C29" s="717">
        <f t="shared" si="0"/>
        <v>0</v>
      </c>
      <c r="D29" s="717">
        <f t="shared" si="1"/>
        <v>0</v>
      </c>
      <c r="E29" s="717"/>
      <c r="F29" s="717"/>
      <c r="G29" s="717">
        <f t="shared" si="2"/>
        <v>0</v>
      </c>
      <c r="H29" s="717"/>
      <c r="I29" s="717">
        <f t="shared" si="3"/>
        <v>0</v>
      </c>
      <c r="J29" s="717">
        <f t="shared" si="3"/>
        <v>0</v>
      </c>
      <c r="K29" s="717">
        <f t="shared" si="3"/>
        <v>0</v>
      </c>
      <c r="L29" s="717"/>
      <c r="M29" s="709"/>
      <c r="N29" s="709"/>
      <c r="O29" s="709"/>
      <c r="P29" s="717"/>
      <c r="Q29" s="709"/>
      <c r="R29" s="709"/>
      <c r="S29" s="709"/>
    </row>
    <row r="30" spans="1:19" hidden="1">
      <c r="A30" s="731">
        <f t="shared" si="4"/>
        <v>2.139999999999997</v>
      </c>
      <c r="B30" s="709"/>
      <c r="C30" s="717">
        <f t="shared" si="0"/>
        <v>0</v>
      </c>
      <c r="D30" s="717">
        <f t="shared" si="1"/>
        <v>0</v>
      </c>
      <c r="E30" s="717"/>
      <c r="F30" s="717"/>
      <c r="G30" s="717">
        <f t="shared" si="2"/>
        <v>0</v>
      </c>
      <c r="H30" s="717"/>
      <c r="I30" s="717">
        <f t="shared" si="3"/>
        <v>0</v>
      </c>
      <c r="J30" s="717">
        <f t="shared" si="3"/>
        <v>0</v>
      </c>
      <c r="K30" s="717">
        <f t="shared" si="3"/>
        <v>0</v>
      </c>
      <c r="L30" s="717"/>
      <c r="M30" s="709"/>
      <c r="N30" s="709"/>
      <c r="O30" s="709"/>
      <c r="P30" s="717"/>
      <c r="Q30" s="709"/>
      <c r="R30" s="709"/>
      <c r="S30" s="709"/>
    </row>
    <row r="31" spans="1:19" hidden="1">
      <c r="A31" s="731">
        <f t="shared" si="4"/>
        <v>2.1499999999999968</v>
      </c>
      <c r="B31" s="709"/>
      <c r="C31" s="717">
        <f t="shared" si="0"/>
        <v>0</v>
      </c>
      <c r="D31" s="717">
        <f t="shared" si="1"/>
        <v>0</v>
      </c>
      <c r="E31" s="717"/>
      <c r="F31" s="717"/>
      <c r="G31" s="717">
        <f t="shared" si="2"/>
        <v>0</v>
      </c>
      <c r="H31" s="717"/>
      <c r="I31" s="717">
        <f t="shared" si="3"/>
        <v>0</v>
      </c>
      <c r="J31" s="717">
        <f t="shared" si="3"/>
        <v>0</v>
      </c>
      <c r="K31" s="717">
        <f t="shared" si="3"/>
        <v>0</v>
      </c>
      <c r="L31" s="717"/>
      <c r="M31" s="709"/>
      <c r="N31" s="709"/>
      <c r="O31" s="709"/>
      <c r="P31" s="717"/>
      <c r="Q31" s="709"/>
      <c r="R31" s="709"/>
      <c r="S31" s="709"/>
    </row>
    <row r="32" spans="1:19" hidden="1">
      <c r="A32" s="731">
        <f t="shared" si="4"/>
        <v>2.1599999999999966</v>
      </c>
      <c r="B32" s="709"/>
      <c r="C32" s="717">
        <f t="shared" si="0"/>
        <v>0</v>
      </c>
      <c r="D32" s="717">
        <f t="shared" si="1"/>
        <v>0</v>
      </c>
      <c r="E32" s="717"/>
      <c r="F32" s="717"/>
      <c r="G32" s="717">
        <f t="shared" si="2"/>
        <v>0</v>
      </c>
      <c r="H32" s="717"/>
      <c r="I32" s="717">
        <f t="shared" si="3"/>
        <v>0</v>
      </c>
      <c r="J32" s="717">
        <f t="shared" si="3"/>
        <v>0</v>
      </c>
      <c r="K32" s="717">
        <f t="shared" si="3"/>
        <v>0</v>
      </c>
      <c r="L32" s="717"/>
      <c r="M32" s="709"/>
      <c r="N32" s="709"/>
      <c r="O32" s="709"/>
      <c r="P32" s="717"/>
      <c r="Q32" s="709"/>
      <c r="R32" s="709"/>
      <c r="S32" s="709"/>
    </row>
    <row r="33" spans="1:19" hidden="1">
      <c r="A33" s="731">
        <f t="shared" si="4"/>
        <v>2.1699999999999964</v>
      </c>
      <c r="B33" s="709"/>
      <c r="C33" s="717">
        <f t="shared" si="0"/>
        <v>0</v>
      </c>
      <c r="D33" s="717">
        <f t="shared" si="1"/>
        <v>0</v>
      </c>
      <c r="E33" s="717"/>
      <c r="F33" s="717"/>
      <c r="G33" s="717">
        <f t="shared" si="2"/>
        <v>0</v>
      </c>
      <c r="H33" s="717"/>
      <c r="I33" s="717">
        <f t="shared" si="3"/>
        <v>0</v>
      </c>
      <c r="J33" s="717">
        <f t="shared" si="3"/>
        <v>0</v>
      </c>
      <c r="K33" s="717">
        <f t="shared" si="3"/>
        <v>0</v>
      </c>
      <c r="L33" s="717"/>
      <c r="M33" s="709"/>
      <c r="N33" s="709"/>
      <c r="O33" s="709"/>
      <c r="P33" s="717"/>
      <c r="Q33" s="709"/>
      <c r="R33" s="709"/>
      <c r="S33" s="709"/>
    </row>
    <row r="34" spans="1:19" hidden="1">
      <c r="A34" s="731">
        <f t="shared" si="4"/>
        <v>2.1799999999999962</v>
      </c>
      <c r="B34" s="709"/>
      <c r="C34" s="717">
        <f t="shared" si="0"/>
        <v>0</v>
      </c>
      <c r="D34" s="717">
        <f t="shared" si="1"/>
        <v>0</v>
      </c>
      <c r="E34" s="717"/>
      <c r="F34" s="717"/>
      <c r="G34" s="717">
        <f t="shared" si="2"/>
        <v>0</v>
      </c>
      <c r="H34" s="717"/>
      <c r="I34" s="717">
        <f t="shared" si="3"/>
        <v>0</v>
      </c>
      <c r="J34" s="717">
        <f t="shared" si="3"/>
        <v>0</v>
      </c>
      <c r="K34" s="717">
        <f t="shared" si="3"/>
        <v>0</v>
      </c>
      <c r="L34" s="717"/>
      <c r="M34" s="709"/>
      <c r="N34" s="709"/>
      <c r="O34" s="709"/>
      <c r="P34" s="717"/>
      <c r="Q34" s="709"/>
      <c r="R34" s="709"/>
      <c r="S34" s="709"/>
    </row>
    <row r="35" spans="1:19" hidden="1">
      <c r="A35" s="731">
        <f t="shared" si="4"/>
        <v>2.1899999999999959</v>
      </c>
      <c r="B35" s="709"/>
      <c r="C35" s="717">
        <f t="shared" si="0"/>
        <v>0</v>
      </c>
      <c r="D35" s="717">
        <f t="shared" si="1"/>
        <v>0</v>
      </c>
      <c r="E35" s="717"/>
      <c r="F35" s="717"/>
      <c r="G35" s="717">
        <f t="shared" si="2"/>
        <v>0</v>
      </c>
      <c r="H35" s="717"/>
      <c r="I35" s="717">
        <f t="shared" si="3"/>
        <v>0</v>
      </c>
      <c r="J35" s="717">
        <f t="shared" si="3"/>
        <v>0</v>
      </c>
      <c r="K35" s="717">
        <f t="shared" si="3"/>
        <v>0</v>
      </c>
      <c r="L35" s="717"/>
      <c r="M35" s="709"/>
      <c r="N35" s="709"/>
      <c r="O35" s="709"/>
      <c r="P35" s="717"/>
      <c r="Q35" s="709"/>
      <c r="R35" s="709"/>
      <c r="S35" s="709"/>
    </row>
    <row r="36" spans="1:19" hidden="1">
      <c r="A36" s="731">
        <f t="shared" si="4"/>
        <v>2.1999999999999957</v>
      </c>
      <c r="B36" s="709"/>
      <c r="C36" s="717">
        <f t="shared" si="0"/>
        <v>0</v>
      </c>
      <c r="D36" s="717">
        <f t="shared" si="1"/>
        <v>0</v>
      </c>
      <c r="E36" s="717"/>
      <c r="F36" s="717"/>
      <c r="G36" s="717">
        <f t="shared" si="2"/>
        <v>0</v>
      </c>
      <c r="H36" s="717"/>
      <c r="I36" s="717">
        <f t="shared" si="3"/>
        <v>0</v>
      </c>
      <c r="J36" s="717">
        <f t="shared" si="3"/>
        <v>0</v>
      </c>
      <c r="K36" s="717">
        <f t="shared" si="3"/>
        <v>0</v>
      </c>
      <c r="L36" s="717"/>
      <c r="M36" s="709"/>
      <c r="N36" s="709"/>
      <c r="O36" s="709"/>
      <c r="P36" s="717"/>
      <c r="Q36" s="709"/>
      <c r="R36" s="709"/>
      <c r="S36" s="709"/>
    </row>
    <row r="37" spans="1:19" hidden="1">
      <c r="A37" s="731">
        <f t="shared" si="4"/>
        <v>2.2099999999999955</v>
      </c>
      <c r="B37" s="709"/>
      <c r="C37" s="717">
        <f t="shared" si="0"/>
        <v>0</v>
      </c>
      <c r="D37" s="717">
        <f t="shared" si="1"/>
        <v>0</v>
      </c>
      <c r="E37" s="717"/>
      <c r="F37" s="717"/>
      <c r="G37" s="717">
        <f t="shared" si="2"/>
        <v>0</v>
      </c>
      <c r="H37" s="717"/>
      <c r="I37" s="717">
        <f t="shared" si="3"/>
        <v>0</v>
      </c>
      <c r="J37" s="717">
        <f t="shared" si="3"/>
        <v>0</v>
      </c>
      <c r="K37" s="717">
        <f t="shared" si="3"/>
        <v>0</v>
      </c>
      <c r="L37" s="717"/>
      <c r="M37" s="709"/>
      <c r="N37" s="709"/>
      <c r="O37" s="709"/>
      <c r="P37" s="717"/>
      <c r="Q37" s="709"/>
      <c r="R37" s="709"/>
      <c r="S37" s="709"/>
    </row>
    <row r="38" spans="1:19" hidden="1">
      <c r="A38" s="731">
        <f t="shared" si="4"/>
        <v>2.2199999999999953</v>
      </c>
      <c r="B38" s="709"/>
      <c r="C38" s="717">
        <f t="shared" si="0"/>
        <v>0</v>
      </c>
      <c r="D38" s="717">
        <f t="shared" si="1"/>
        <v>0</v>
      </c>
      <c r="E38" s="717"/>
      <c r="F38" s="717"/>
      <c r="G38" s="717">
        <f t="shared" si="2"/>
        <v>0</v>
      </c>
      <c r="H38" s="717"/>
      <c r="I38" s="717">
        <f t="shared" si="3"/>
        <v>0</v>
      </c>
      <c r="J38" s="717">
        <f t="shared" si="3"/>
        <v>0</v>
      </c>
      <c r="K38" s="717">
        <f t="shared" si="3"/>
        <v>0</v>
      </c>
      <c r="L38" s="717"/>
      <c r="M38" s="709"/>
      <c r="N38" s="709"/>
      <c r="O38" s="709"/>
      <c r="P38" s="717"/>
      <c r="Q38" s="709"/>
      <c r="R38" s="709"/>
      <c r="S38" s="709"/>
    </row>
    <row r="39" spans="1:19" hidden="1">
      <c r="A39" s="731">
        <f t="shared" si="4"/>
        <v>2.2299999999999951</v>
      </c>
      <c r="B39" s="709"/>
      <c r="C39" s="717">
        <f t="shared" si="0"/>
        <v>0</v>
      </c>
      <c r="D39" s="717">
        <f t="shared" si="1"/>
        <v>0</v>
      </c>
      <c r="E39" s="717"/>
      <c r="F39" s="717"/>
      <c r="G39" s="717">
        <f t="shared" si="2"/>
        <v>0</v>
      </c>
      <c r="H39" s="717"/>
      <c r="I39" s="717">
        <f t="shared" si="3"/>
        <v>0</v>
      </c>
      <c r="J39" s="717">
        <f t="shared" si="3"/>
        <v>0</v>
      </c>
      <c r="K39" s="717">
        <f t="shared" si="3"/>
        <v>0</v>
      </c>
      <c r="L39" s="717"/>
      <c r="M39" s="709"/>
      <c r="N39" s="709"/>
      <c r="O39" s="709"/>
      <c r="P39" s="717"/>
      <c r="Q39" s="709"/>
      <c r="R39" s="709"/>
      <c r="S39" s="709"/>
    </row>
    <row r="40" spans="1:19" hidden="1">
      <c r="A40" s="731">
        <f t="shared" si="4"/>
        <v>2.2399999999999949</v>
      </c>
      <c r="B40" s="709"/>
      <c r="C40" s="717">
        <f t="shared" si="0"/>
        <v>0</v>
      </c>
      <c r="D40" s="717">
        <f t="shared" si="1"/>
        <v>0</v>
      </c>
      <c r="E40" s="717"/>
      <c r="F40" s="717"/>
      <c r="G40" s="717">
        <f t="shared" si="2"/>
        <v>0</v>
      </c>
      <c r="H40" s="717"/>
      <c r="I40" s="717">
        <f t="shared" si="3"/>
        <v>0</v>
      </c>
      <c r="J40" s="717">
        <f t="shared" si="3"/>
        <v>0</v>
      </c>
      <c r="K40" s="717">
        <f t="shared" si="3"/>
        <v>0</v>
      </c>
      <c r="L40" s="717"/>
      <c r="M40" s="709"/>
      <c r="N40" s="709"/>
      <c r="O40" s="709"/>
      <c r="P40" s="717"/>
      <c r="Q40" s="709"/>
      <c r="R40" s="709"/>
      <c r="S40" s="709"/>
    </row>
    <row r="41" spans="1:19" hidden="1">
      <c r="A41" s="731">
        <f t="shared" si="4"/>
        <v>2.2499999999999947</v>
      </c>
      <c r="B41" s="709"/>
      <c r="C41" s="717">
        <f t="shared" si="0"/>
        <v>0</v>
      </c>
      <c r="D41" s="717">
        <f t="shared" si="1"/>
        <v>0</v>
      </c>
      <c r="E41" s="717"/>
      <c r="F41" s="717"/>
      <c r="G41" s="717">
        <f t="shared" si="2"/>
        <v>0</v>
      </c>
      <c r="H41" s="717"/>
      <c r="I41" s="717">
        <f t="shared" si="3"/>
        <v>0</v>
      </c>
      <c r="J41" s="717">
        <f t="shared" si="3"/>
        <v>0</v>
      </c>
      <c r="K41" s="717">
        <f t="shared" si="3"/>
        <v>0</v>
      </c>
      <c r="L41" s="717"/>
      <c r="M41" s="709"/>
      <c r="N41" s="709"/>
      <c r="O41" s="709"/>
      <c r="P41" s="717"/>
      <c r="Q41" s="709"/>
      <c r="R41" s="709"/>
      <c r="S41" s="709"/>
    </row>
    <row r="42" spans="1:19" hidden="1">
      <c r="A42" s="731">
        <f t="shared" si="4"/>
        <v>2.2599999999999945</v>
      </c>
      <c r="B42" s="709"/>
      <c r="C42" s="717">
        <f t="shared" si="0"/>
        <v>0</v>
      </c>
      <c r="D42" s="717">
        <f t="shared" si="1"/>
        <v>0</v>
      </c>
      <c r="E42" s="717"/>
      <c r="F42" s="717"/>
      <c r="G42" s="717">
        <f t="shared" si="2"/>
        <v>0</v>
      </c>
      <c r="H42" s="717"/>
      <c r="I42" s="717">
        <f t="shared" si="3"/>
        <v>0</v>
      </c>
      <c r="J42" s="717">
        <f t="shared" si="3"/>
        <v>0</v>
      </c>
      <c r="K42" s="717">
        <f t="shared" si="3"/>
        <v>0</v>
      </c>
      <c r="L42" s="717"/>
      <c r="M42" s="709"/>
      <c r="N42" s="709"/>
      <c r="O42" s="709"/>
      <c r="P42" s="717"/>
      <c r="Q42" s="709"/>
      <c r="R42" s="709"/>
      <c r="S42" s="709"/>
    </row>
    <row r="43" spans="1:19" hidden="1">
      <c r="A43" s="731">
        <f t="shared" si="4"/>
        <v>2.2699999999999942</v>
      </c>
      <c r="B43" s="709"/>
      <c r="C43" s="717">
        <f t="shared" si="0"/>
        <v>0</v>
      </c>
      <c r="D43" s="717">
        <f t="shared" si="1"/>
        <v>0</v>
      </c>
      <c r="E43" s="717"/>
      <c r="F43" s="717"/>
      <c r="G43" s="717">
        <f t="shared" si="2"/>
        <v>0</v>
      </c>
      <c r="H43" s="717"/>
      <c r="I43" s="717">
        <f t="shared" si="3"/>
        <v>0</v>
      </c>
      <c r="J43" s="717">
        <f t="shared" si="3"/>
        <v>0</v>
      </c>
      <c r="K43" s="717">
        <f t="shared" si="3"/>
        <v>0</v>
      </c>
      <c r="L43" s="717"/>
      <c r="M43" s="709"/>
      <c r="N43" s="709"/>
      <c r="O43" s="709"/>
      <c r="P43" s="717"/>
      <c r="Q43" s="709"/>
      <c r="R43" s="709"/>
      <c r="S43" s="709"/>
    </row>
    <row r="44" spans="1:19" hidden="1">
      <c r="A44" s="731">
        <f t="shared" si="4"/>
        <v>2.279999999999994</v>
      </c>
      <c r="B44" s="709"/>
      <c r="C44" s="717">
        <f t="shared" si="0"/>
        <v>0</v>
      </c>
      <c r="D44" s="717">
        <f t="shared" si="1"/>
        <v>0</v>
      </c>
      <c r="E44" s="717"/>
      <c r="F44" s="717"/>
      <c r="G44" s="717">
        <f t="shared" si="2"/>
        <v>0</v>
      </c>
      <c r="H44" s="717"/>
      <c r="I44" s="717">
        <f t="shared" si="3"/>
        <v>0</v>
      </c>
      <c r="J44" s="717">
        <f t="shared" si="3"/>
        <v>0</v>
      </c>
      <c r="K44" s="717">
        <f t="shared" si="3"/>
        <v>0</v>
      </c>
      <c r="L44" s="717"/>
      <c r="M44" s="709"/>
      <c r="N44" s="709"/>
      <c r="O44" s="709"/>
      <c r="P44" s="717"/>
      <c r="Q44" s="709"/>
      <c r="R44" s="709"/>
      <c r="S44" s="709"/>
    </row>
    <row r="45" spans="1:19" hidden="1">
      <c r="A45" s="731">
        <f t="shared" si="4"/>
        <v>2.2899999999999938</v>
      </c>
      <c r="B45" s="709"/>
      <c r="C45" s="717">
        <f t="shared" si="0"/>
        <v>0</v>
      </c>
      <c r="D45" s="717">
        <f t="shared" si="1"/>
        <v>0</v>
      </c>
      <c r="E45" s="717"/>
      <c r="F45" s="717"/>
      <c r="G45" s="717">
        <f t="shared" si="2"/>
        <v>0</v>
      </c>
      <c r="H45" s="717"/>
      <c r="I45" s="717">
        <f t="shared" si="3"/>
        <v>0</v>
      </c>
      <c r="J45" s="717">
        <f t="shared" si="3"/>
        <v>0</v>
      </c>
      <c r="K45" s="717">
        <f t="shared" si="3"/>
        <v>0</v>
      </c>
      <c r="L45" s="717"/>
      <c r="M45" s="709"/>
      <c r="N45" s="709"/>
      <c r="O45" s="709"/>
      <c r="P45" s="717"/>
      <c r="Q45" s="709"/>
      <c r="R45" s="709"/>
      <c r="S45" s="709"/>
    </row>
    <row r="46" spans="1:19" hidden="1">
      <c r="A46" s="731">
        <f t="shared" si="4"/>
        <v>2.2999999999999936</v>
      </c>
      <c r="B46" s="709"/>
      <c r="C46" s="717">
        <f t="shared" si="0"/>
        <v>0</v>
      </c>
      <c r="D46" s="717">
        <f t="shared" si="1"/>
        <v>0</v>
      </c>
      <c r="E46" s="717"/>
      <c r="F46" s="717"/>
      <c r="G46" s="717">
        <f t="shared" si="2"/>
        <v>0</v>
      </c>
      <c r="H46" s="717"/>
      <c r="I46" s="717">
        <f t="shared" si="3"/>
        <v>0</v>
      </c>
      <c r="J46" s="717">
        <f t="shared" si="3"/>
        <v>0</v>
      </c>
      <c r="K46" s="717">
        <f t="shared" si="3"/>
        <v>0</v>
      </c>
      <c r="L46" s="717"/>
      <c r="M46" s="709"/>
      <c r="N46" s="709"/>
      <c r="O46" s="709"/>
      <c r="P46" s="717"/>
      <c r="Q46" s="709"/>
      <c r="R46" s="709"/>
      <c r="S46" s="709"/>
    </row>
    <row r="47" spans="1:19" hidden="1">
      <c r="A47" s="731">
        <f t="shared" si="4"/>
        <v>2.3099999999999934</v>
      </c>
      <c r="B47" s="709"/>
      <c r="C47" s="717">
        <f t="shared" si="0"/>
        <v>0</v>
      </c>
      <c r="D47" s="717">
        <f t="shared" si="1"/>
        <v>0</v>
      </c>
      <c r="E47" s="717"/>
      <c r="F47" s="717"/>
      <c r="G47" s="717">
        <f t="shared" si="2"/>
        <v>0</v>
      </c>
      <c r="H47" s="717"/>
      <c r="I47" s="717">
        <f t="shared" si="3"/>
        <v>0</v>
      </c>
      <c r="J47" s="717">
        <f t="shared" si="3"/>
        <v>0</v>
      </c>
      <c r="K47" s="717">
        <f t="shared" si="3"/>
        <v>0</v>
      </c>
      <c r="L47" s="717"/>
      <c r="M47" s="709"/>
      <c r="N47" s="709"/>
      <c r="O47" s="709"/>
      <c r="P47" s="717"/>
      <c r="Q47" s="709"/>
      <c r="R47" s="709"/>
      <c r="S47" s="709"/>
    </row>
    <row r="48" spans="1:19" hidden="1">
      <c r="A48" s="731">
        <f t="shared" si="4"/>
        <v>2.3199999999999932</v>
      </c>
      <c r="B48" s="709"/>
      <c r="C48" s="717">
        <f t="shared" si="0"/>
        <v>0</v>
      </c>
      <c r="D48" s="717">
        <f t="shared" si="1"/>
        <v>0</v>
      </c>
      <c r="E48" s="717"/>
      <c r="F48" s="717"/>
      <c r="G48" s="717">
        <f t="shared" si="2"/>
        <v>0</v>
      </c>
      <c r="H48" s="717"/>
      <c r="I48" s="717">
        <f t="shared" si="3"/>
        <v>0</v>
      </c>
      <c r="J48" s="717">
        <f t="shared" si="3"/>
        <v>0</v>
      </c>
      <c r="K48" s="717">
        <f t="shared" si="3"/>
        <v>0</v>
      </c>
      <c r="L48" s="717"/>
      <c r="M48" s="709"/>
      <c r="N48" s="709"/>
      <c r="O48" s="709"/>
      <c r="P48" s="717"/>
      <c r="Q48" s="709"/>
      <c r="R48" s="709"/>
      <c r="S48" s="709"/>
    </row>
    <row r="49" spans="1:19" hidden="1">
      <c r="A49" s="731">
        <f t="shared" si="4"/>
        <v>2.329999999999993</v>
      </c>
      <c r="B49" s="709"/>
      <c r="C49" s="717">
        <f t="shared" si="0"/>
        <v>0</v>
      </c>
      <c r="D49" s="717">
        <f t="shared" si="1"/>
        <v>0</v>
      </c>
      <c r="E49" s="717"/>
      <c r="F49" s="717"/>
      <c r="G49" s="717">
        <f t="shared" si="2"/>
        <v>0</v>
      </c>
      <c r="H49" s="717"/>
      <c r="I49" s="717">
        <f t="shared" ref="I49:K80" si="5">(M49+Q49)/2</f>
        <v>0</v>
      </c>
      <c r="J49" s="717">
        <f t="shared" si="5"/>
        <v>0</v>
      </c>
      <c r="K49" s="717">
        <f t="shared" si="5"/>
        <v>0</v>
      </c>
      <c r="L49" s="717"/>
      <c r="M49" s="709"/>
      <c r="N49" s="709"/>
      <c r="O49" s="709"/>
      <c r="P49" s="717"/>
      <c r="Q49" s="709"/>
      <c r="R49" s="709"/>
      <c r="S49" s="709"/>
    </row>
    <row r="50" spans="1:19" hidden="1">
      <c r="A50" s="731">
        <f t="shared" si="4"/>
        <v>2.3399999999999928</v>
      </c>
      <c r="B50" s="709"/>
      <c r="C50" s="717">
        <f t="shared" si="0"/>
        <v>0</v>
      </c>
      <c r="D50" s="717">
        <f t="shared" si="1"/>
        <v>0</v>
      </c>
      <c r="E50" s="717"/>
      <c r="F50" s="717"/>
      <c r="G50" s="717">
        <f t="shared" si="2"/>
        <v>0</v>
      </c>
      <c r="H50" s="717"/>
      <c r="I50" s="717">
        <f t="shared" si="5"/>
        <v>0</v>
      </c>
      <c r="J50" s="717">
        <f t="shared" si="5"/>
        <v>0</v>
      </c>
      <c r="K50" s="717">
        <f t="shared" si="5"/>
        <v>0</v>
      </c>
      <c r="L50" s="717"/>
      <c r="M50" s="709"/>
      <c r="N50" s="709"/>
      <c r="O50" s="709"/>
      <c r="P50" s="717"/>
      <c r="Q50" s="709"/>
      <c r="R50" s="709"/>
      <c r="S50" s="709"/>
    </row>
    <row r="51" spans="1:19" hidden="1">
      <c r="A51" s="731">
        <f t="shared" si="4"/>
        <v>2.3499999999999925</v>
      </c>
      <c r="B51" s="709"/>
      <c r="C51" s="717">
        <f t="shared" si="0"/>
        <v>0</v>
      </c>
      <c r="D51" s="717">
        <f t="shared" si="1"/>
        <v>0</v>
      </c>
      <c r="E51" s="717"/>
      <c r="F51" s="717"/>
      <c r="G51" s="717">
        <f t="shared" si="2"/>
        <v>0</v>
      </c>
      <c r="H51" s="717"/>
      <c r="I51" s="717">
        <f t="shared" si="5"/>
        <v>0</v>
      </c>
      <c r="J51" s="717">
        <f t="shared" si="5"/>
        <v>0</v>
      </c>
      <c r="K51" s="717">
        <f t="shared" si="5"/>
        <v>0</v>
      </c>
      <c r="L51" s="717"/>
      <c r="M51" s="709"/>
      <c r="N51" s="709"/>
      <c r="O51" s="709"/>
      <c r="P51" s="717"/>
      <c r="Q51" s="709"/>
      <c r="R51" s="709"/>
      <c r="S51" s="709"/>
    </row>
    <row r="52" spans="1:19" hidden="1">
      <c r="A52" s="731">
        <f t="shared" si="4"/>
        <v>2.3599999999999923</v>
      </c>
      <c r="B52" s="709"/>
      <c r="C52" s="717">
        <f t="shared" si="0"/>
        <v>0</v>
      </c>
      <c r="D52" s="717">
        <f t="shared" si="1"/>
        <v>0</v>
      </c>
      <c r="E52" s="717"/>
      <c r="F52" s="717"/>
      <c r="G52" s="717">
        <f t="shared" si="2"/>
        <v>0</v>
      </c>
      <c r="H52" s="717"/>
      <c r="I52" s="717">
        <f t="shared" si="5"/>
        <v>0</v>
      </c>
      <c r="J52" s="717">
        <f t="shared" si="5"/>
        <v>0</v>
      </c>
      <c r="K52" s="717">
        <f t="shared" si="5"/>
        <v>0</v>
      </c>
      <c r="L52" s="717"/>
      <c r="M52" s="709"/>
      <c r="N52" s="709"/>
      <c r="O52" s="709"/>
      <c r="P52" s="717"/>
      <c r="Q52" s="709"/>
      <c r="R52" s="709"/>
      <c r="S52" s="709"/>
    </row>
    <row r="53" spans="1:19" hidden="1">
      <c r="A53" s="731">
        <f t="shared" si="4"/>
        <v>2.3699999999999921</v>
      </c>
      <c r="B53" s="709"/>
      <c r="C53" s="717">
        <f t="shared" si="0"/>
        <v>0</v>
      </c>
      <c r="D53" s="717">
        <f t="shared" si="1"/>
        <v>0</v>
      </c>
      <c r="E53" s="717"/>
      <c r="F53" s="717"/>
      <c r="G53" s="717">
        <f t="shared" si="2"/>
        <v>0</v>
      </c>
      <c r="H53" s="717"/>
      <c r="I53" s="717">
        <f t="shared" si="5"/>
        <v>0</v>
      </c>
      <c r="J53" s="717">
        <f t="shared" si="5"/>
        <v>0</v>
      </c>
      <c r="K53" s="717">
        <f t="shared" si="5"/>
        <v>0</v>
      </c>
      <c r="L53" s="717"/>
      <c r="M53" s="709"/>
      <c r="N53" s="709"/>
      <c r="O53" s="709"/>
      <c r="P53" s="717"/>
      <c r="Q53" s="709"/>
      <c r="R53" s="709"/>
      <c r="S53" s="709"/>
    </row>
    <row r="54" spans="1:19" hidden="1">
      <c r="A54" s="731">
        <f t="shared" si="4"/>
        <v>2.3799999999999919</v>
      </c>
      <c r="B54" s="709"/>
      <c r="C54" s="717">
        <f t="shared" si="0"/>
        <v>0</v>
      </c>
      <c r="D54" s="717">
        <f t="shared" si="1"/>
        <v>0</v>
      </c>
      <c r="E54" s="717"/>
      <c r="F54" s="717"/>
      <c r="G54" s="717">
        <f t="shared" si="2"/>
        <v>0</v>
      </c>
      <c r="H54" s="717"/>
      <c r="I54" s="717">
        <f t="shared" si="5"/>
        <v>0</v>
      </c>
      <c r="J54" s="717">
        <f t="shared" si="5"/>
        <v>0</v>
      </c>
      <c r="K54" s="717">
        <f t="shared" si="5"/>
        <v>0</v>
      </c>
      <c r="L54" s="717"/>
      <c r="M54" s="709"/>
      <c r="N54" s="709"/>
      <c r="O54" s="709"/>
      <c r="P54" s="717"/>
      <c r="Q54" s="709"/>
      <c r="R54" s="709"/>
      <c r="S54" s="709"/>
    </row>
    <row r="55" spans="1:19" hidden="1">
      <c r="A55" s="731">
        <f t="shared" si="4"/>
        <v>2.3899999999999917</v>
      </c>
      <c r="B55" s="709"/>
      <c r="C55" s="717">
        <f t="shared" si="0"/>
        <v>0</v>
      </c>
      <c r="D55" s="717">
        <f t="shared" si="1"/>
        <v>0</v>
      </c>
      <c r="E55" s="717"/>
      <c r="F55" s="717"/>
      <c r="G55" s="717">
        <f t="shared" si="2"/>
        <v>0</v>
      </c>
      <c r="H55" s="717"/>
      <c r="I55" s="717">
        <f t="shared" si="5"/>
        <v>0</v>
      </c>
      <c r="J55" s="717">
        <f t="shared" si="5"/>
        <v>0</v>
      </c>
      <c r="K55" s="717">
        <f t="shared" si="5"/>
        <v>0</v>
      </c>
      <c r="L55" s="717"/>
      <c r="M55" s="709"/>
      <c r="N55" s="709"/>
      <c r="O55" s="709"/>
      <c r="P55" s="717"/>
      <c r="Q55" s="709"/>
      <c r="R55" s="709"/>
      <c r="S55" s="709"/>
    </row>
    <row r="56" spans="1:19" hidden="1">
      <c r="A56" s="731">
        <f t="shared" si="4"/>
        <v>2.3999999999999915</v>
      </c>
      <c r="B56" s="709"/>
      <c r="C56" s="717">
        <f t="shared" si="0"/>
        <v>0</v>
      </c>
      <c r="D56" s="717">
        <f t="shared" si="1"/>
        <v>0</v>
      </c>
      <c r="E56" s="717"/>
      <c r="F56" s="717"/>
      <c r="G56" s="717">
        <f t="shared" si="2"/>
        <v>0</v>
      </c>
      <c r="H56" s="717"/>
      <c r="I56" s="717">
        <f t="shared" si="5"/>
        <v>0</v>
      </c>
      <c r="J56" s="717">
        <f t="shared" si="5"/>
        <v>0</v>
      </c>
      <c r="K56" s="717">
        <f t="shared" si="5"/>
        <v>0</v>
      </c>
      <c r="L56" s="717"/>
      <c r="M56" s="709"/>
      <c r="N56" s="709"/>
      <c r="O56" s="709"/>
      <c r="P56" s="717"/>
      <c r="Q56" s="709"/>
      <c r="R56" s="709"/>
      <c r="S56" s="709"/>
    </row>
    <row r="57" spans="1:19" hidden="1">
      <c r="A57" s="731">
        <f t="shared" si="4"/>
        <v>2.4099999999999913</v>
      </c>
      <c r="B57" s="709"/>
      <c r="C57" s="717">
        <f t="shared" si="0"/>
        <v>0</v>
      </c>
      <c r="D57" s="717">
        <f t="shared" si="1"/>
        <v>0</v>
      </c>
      <c r="E57" s="717"/>
      <c r="F57" s="717"/>
      <c r="G57" s="717">
        <f t="shared" si="2"/>
        <v>0</v>
      </c>
      <c r="H57" s="717"/>
      <c r="I57" s="717">
        <f t="shared" si="5"/>
        <v>0</v>
      </c>
      <c r="J57" s="717">
        <f t="shared" si="5"/>
        <v>0</v>
      </c>
      <c r="K57" s="717">
        <f t="shared" si="5"/>
        <v>0</v>
      </c>
      <c r="L57" s="717"/>
      <c r="M57" s="709"/>
      <c r="N57" s="709"/>
      <c r="O57" s="709"/>
      <c r="P57" s="717"/>
      <c r="Q57" s="709"/>
      <c r="R57" s="709"/>
      <c r="S57" s="709"/>
    </row>
    <row r="58" spans="1:19" hidden="1">
      <c r="A58" s="731">
        <f t="shared" si="4"/>
        <v>2.419999999999991</v>
      </c>
      <c r="B58" s="709"/>
      <c r="C58" s="717">
        <f t="shared" si="0"/>
        <v>0</v>
      </c>
      <c r="D58" s="717">
        <f t="shared" si="1"/>
        <v>0</v>
      </c>
      <c r="E58" s="717"/>
      <c r="F58" s="717"/>
      <c r="G58" s="717">
        <f t="shared" si="2"/>
        <v>0</v>
      </c>
      <c r="H58" s="717"/>
      <c r="I58" s="717">
        <f t="shared" si="5"/>
        <v>0</v>
      </c>
      <c r="J58" s="717">
        <f t="shared" si="5"/>
        <v>0</v>
      </c>
      <c r="K58" s="717">
        <f t="shared" si="5"/>
        <v>0</v>
      </c>
      <c r="L58" s="717"/>
      <c r="M58" s="709"/>
      <c r="N58" s="709"/>
      <c r="O58" s="709"/>
      <c r="P58" s="717"/>
      <c r="Q58" s="709"/>
      <c r="R58" s="709"/>
      <c r="S58" s="709"/>
    </row>
    <row r="59" spans="1:19" hidden="1">
      <c r="A59" s="731">
        <f t="shared" si="4"/>
        <v>2.4299999999999908</v>
      </c>
      <c r="B59" s="709"/>
      <c r="C59" s="717">
        <f t="shared" si="0"/>
        <v>0</v>
      </c>
      <c r="D59" s="717">
        <f t="shared" si="1"/>
        <v>0</v>
      </c>
      <c r="E59" s="717"/>
      <c r="F59" s="717"/>
      <c r="G59" s="717">
        <f t="shared" si="2"/>
        <v>0</v>
      </c>
      <c r="H59" s="717"/>
      <c r="I59" s="717">
        <f t="shared" si="5"/>
        <v>0</v>
      </c>
      <c r="J59" s="717">
        <f t="shared" si="5"/>
        <v>0</v>
      </c>
      <c r="K59" s="717">
        <f t="shared" si="5"/>
        <v>0</v>
      </c>
      <c r="L59" s="717"/>
      <c r="M59" s="709"/>
      <c r="N59" s="709"/>
      <c r="O59" s="709"/>
      <c r="P59" s="717"/>
      <c r="Q59" s="709"/>
      <c r="R59" s="709"/>
      <c r="S59" s="709"/>
    </row>
    <row r="60" spans="1:19" hidden="1">
      <c r="A60" s="731">
        <f t="shared" si="4"/>
        <v>2.4399999999999906</v>
      </c>
      <c r="B60" s="709"/>
      <c r="C60" s="717">
        <f t="shared" si="0"/>
        <v>0</v>
      </c>
      <c r="D60" s="717">
        <f t="shared" si="1"/>
        <v>0</v>
      </c>
      <c r="E60" s="717"/>
      <c r="F60" s="717"/>
      <c r="G60" s="717">
        <f t="shared" si="2"/>
        <v>0</v>
      </c>
      <c r="H60" s="717"/>
      <c r="I60" s="717">
        <f t="shared" si="5"/>
        <v>0</v>
      </c>
      <c r="J60" s="717">
        <f t="shared" si="5"/>
        <v>0</v>
      </c>
      <c r="K60" s="717">
        <f t="shared" si="5"/>
        <v>0</v>
      </c>
      <c r="L60" s="717"/>
      <c r="M60" s="709"/>
      <c r="N60" s="709"/>
      <c r="O60" s="709"/>
      <c r="P60" s="717"/>
      <c r="Q60" s="709"/>
      <c r="R60" s="709"/>
      <c r="S60" s="709"/>
    </row>
    <row r="61" spans="1:19" hidden="1">
      <c r="A61" s="731">
        <f t="shared" si="4"/>
        <v>2.4499999999999904</v>
      </c>
      <c r="B61" s="709"/>
      <c r="C61" s="717">
        <f t="shared" si="0"/>
        <v>0</v>
      </c>
      <c r="D61" s="717">
        <f t="shared" si="1"/>
        <v>0</v>
      </c>
      <c r="E61" s="717"/>
      <c r="F61" s="717"/>
      <c r="G61" s="717">
        <f t="shared" si="2"/>
        <v>0</v>
      </c>
      <c r="H61" s="717"/>
      <c r="I61" s="717">
        <f t="shared" si="5"/>
        <v>0</v>
      </c>
      <c r="J61" s="717">
        <f t="shared" si="5"/>
        <v>0</v>
      </c>
      <c r="K61" s="717">
        <f t="shared" si="5"/>
        <v>0</v>
      </c>
      <c r="L61" s="717"/>
      <c r="M61" s="709"/>
      <c r="N61" s="709"/>
      <c r="O61" s="709"/>
      <c r="P61" s="717"/>
      <c r="Q61" s="709"/>
      <c r="R61" s="709"/>
      <c r="S61" s="709"/>
    </row>
    <row r="62" spans="1:19" hidden="1">
      <c r="A62" s="731">
        <f t="shared" si="4"/>
        <v>2.4599999999999902</v>
      </c>
      <c r="B62" s="709"/>
      <c r="C62" s="717">
        <f t="shared" si="0"/>
        <v>0</v>
      </c>
      <c r="D62" s="717">
        <f t="shared" si="1"/>
        <v>0</v>
      </c>
      <c r="E62" s="717"/>
      <c r="F62" s="717"/>
      <c r="G62" s="717">
        <f t="shared" si="2"/>
        <v>0</v>
      </c>
      <c r="H62" s="717"/>
      <c r="I62" s="717">
        <f t="shared" si="5"/>
        <v>0</v>
      </c>
      <c r="J62" s="717">
        <f t="shared" si="5"/>
        <v>0</v>
      </c>
      <c r="K62" s="717">
        <f t="shared" si="5"/>
        <v>0</v>
      </c>
      <c r="L62" s="717"/>
      <c r="M62" s="709"/>
      <c r="N62" s="709"/>
      <c r="O62" s="709"/>
      <c r="P62" s="717"/>
      <c r="Q62" s="709"/>
      <c r="R62" s="709"/>
      <c r="S62" s="709"/>
    </row>
    <row r="63" spans="1:19" hidden="1">
      <c r="A63" s="731">
        <f t="shared" si="4"/>
        <v>2.46999999999999</v>
      </c>
      <c r="B63" s="709"/>
      <c r="C63" s="717">
        <f t="shared" si="0"/>
        <v>0</v>
      </c>
      <c r="D63" s="717">
        <f t="shared" si="1"/>
        <v>0</v>
      </c>
      <c r="E63" s="717"/>
      <c r="F63" s="717"/>
      <c r="G63" s="717">
        <f t="shared" si="2"/>
        <v>0</v>
      </c>
      <c r="H63" s="717"/>
      <c r="I63" s="717">
        <f t="shared" si="5"/>
        <v>0</v>
      </c>
      <c r="J63" s="717">
        <f t="shared" si="5"/>
        <v>0</v>
      </c>
      <c r="K63" s="717">
        <f t="shared" si="5"/>
        <v>0</v>
      </c>
      <c r="L63" s="717"/>
      <c r="M63" s="709"/>
      <c r="N63" s="709"/>
      <c r="O63" s="709"/>
      <c r="P63" s="717"/>
      <c r="Q63" s="709"/>
      <c r="R63" s="709"/>
      <c r="S63" s="709"/>
    </row>
    <row r="64" spans="1:19" hidden="1">
      <c r="A64" s="731">
        <f t="shared" si="4"/>
        <v>2.4799999999999898</v>
      </c>
      <c r="B64" s="709"/>
      <c r="C64" s="717">
        <f t="shared" si="0"/>
        <v>0</v>
      </c>
      <c r="D64" s="717">
        <f t="shared" si="1"/>
        <v>0</v>
      </c>
      <c r="E64" s="717"/>
      <c r="F64" s="717"/>
      <c r="G64" s="717">
        <f t="shared" si="2"/>
        <v>0</v>
      </c>
      <c r="H64" s="717"/>
      <c r="I64" s="717">
        <f t="shared" si="5"/>
        <v>0</v>
      </c>
      <c r="J64" s="717">
        <f t="shared" si="5"/>
        <v>0</v>
      </c>
      <c r="K64" s="717">
        <f t="shared" si="5"/>
        <v>0</v>
      </c>
      <c r="L64" s="717"/>
      <c r="M64" s="709"/>
      <c r="N64" s="709"/>
      <c r="O64" s="709"/>
      <c r="P64" s="717"/>
      <c r="Q64" s="709"/>
      <c r="R64" s="709"/>
      <c r="S64" s="709"/>
    </row>
    <row r="65" spans="1:19" hidden="1">
      <c r="A65" s="731">
        <f t="shared" si="4"/>
        <v>2.4899999999999896</v>
      </c>
      <c r="B65" s="709"/>
      <c r="C65" s="717">
        <f t="shared" si="0"/>
        <v>0</v>
      </c>
      <c r="D65" s="717">
        <f t="shared" si="1"/>
        <v>0</v>
      </c>
      <c r="E65" s="717"/>
      <c r="F65" s="717"/>
      <c r="G65" s="717">
        <f t="shared" si="2"/>
        <v>0</v>
      </c>
      <c r="H65" s="717"/>
      <c r="I65" s="717">
        <f t="shared" si="5"/>
        <v>0</v>
      </c>
      <c r="J65" s="717">
        <f t="shared" si="5"/>
        <v>0</v>
      </c>
      <c r="K65" s="717">
        <f t="shared" si="5"/>
        <v>0</v>
      </c>
      <c r="L65" s="717"/>
      <c r="M65" s="709"/>
      <c r="N65" s="709"/>
      <c r="O65" s="709"/>
      <c r="P65" s="717"/>
      <c r="Q65" s="709"/>
      <c r="R65" s="709"/>
      <c r="S65" s="709"/>
    </row>
    <row r="66" spans="1:19" hidden="1">
      <c r="A66" s="731">
        <f t="shared" si="4"/>
        <v>2.4999999999999893</v>
      </c>
      <c r="B66" s="709"/>
      <c r="C66" s="717">
        <f t="shared" si="0"/>
        <v>0</v>
      </c>
      <c r="D66" s="717">
        <f t="shared" si="1"/>
        <v>0</v>
      </c>
      <c r="E66" s="717"/>
      <c r="F66" s="717"/>
      <c r="G66" s="717">
        <f t="shared" si="2"/>
        <v>0</v>
      </c>
      <c r="H66" s="717"/>
      <c r="I66" s="717">
        <f t="shared" si="5"/>
        <v>0</v>
      </c>
      <c r="J66" s="717">
        <f t="shared" si="5"/>
        <v>0</v>
      </c>
      <c r="K66" s="717">
        <f t="shared" si="5"/>
        <v>0</v>
      </c>
      <c r="L66" s="717"/>
      <c r="M66" s="709"/>
      <c r="N66" s="709"/>
      <c r="O66" s="709"/>
      <c r="P66" s="717"/>
      <c r="Q66" s="709"/>
      <c r="R66" s="709"/>
      <c r="S66" s="709"/>
    </row>
    <row r="67" spans="1:19" hidden="1">
      <c r="A67" s="731">
        <f t="shared" si="4"/>
        <v>2.5099999999999891</v>
      </c>
      <c r="B67" s="709"/>
      <c r="C67" s="717">
        <f t="shared" si="0"/>
        <v>0</v>
      </c>
      <c r="D67" s="717">
        <f t="shared" si="1"/>
        <v>0</v>
      </c>
      <c r="E67" s="717"/>
      <c r="F67" s="717"/>
      <c r="G67" s="717">
        <f t="shared" si="2"/>
        <v>0</v>
      </c>
      <c r="H67" s="717"/>
      <c r="I67" s="717">
        <f t="shared" si="5"/>
        <v>0</v>
      </c>
      <c r="J67" s="717">
        <f t="shared" si="5"/>
        <v>0</v>
      </c>
      <c r="K67" s="717">
        <f t="shared" si="5"/>
        <v>0</v>
      </c>
      <c r="L67" s="717"/>
      <c r="M67" s="709"/>
      <c r="N67" s="709"/>
      <c r="O67" s="709"/>
      <c r="P67" s="717"/>
      <c r="Q67" s="709"/>
      <c r="R67" s="709"/>
      <c r="S67" s="709"/>
    </row>
    <row r="68" spans="1:19" hidden="1">
      <c r="A68" s="731">
        <f t="shared" si="4"/>
        <v>2.5199999999999889</v>
      </c>
      <c r="B68" s="709"/>
      <c r="C68" s="717">
        <f t="shared" si="0"/>
        <v>0</v>
      </c>
      <c r="D68" s="717">
        <f t="shared" si="1"/>
        <v>0</v>
      </c>
      <c r="E68" s="717"/>
      <c r="F68" s="717"/>
      <c r="G68" s="717">
        <f t="shared" si="2"/>
        <v>0</v>
      </c>
      <c r="H68" s="717"/>
      <c r="I68" s="717">
        <f t="shared" si="5"/>
        <v>0</v>
      </c>
      <c r="J68" s="717">
        <f t="shared" si="5"/>
        <v>0</v>
      </c>
      <c r="K68" s="717">
        <f t="shared" si="5"/>
        <v>0</v>
      </c>
      <c r="L68" s="717"/>
      <c r="M68" s="709"/>
      <c r="N68" s="709"/>
      <c r="O68" s="709"/>
      <c r="P68" s="717"/>
      <c r="Q68" s="709"/>
      <c r="R68" s="709"/>
      <c r="S68" s="709"/>
    </row>
    <row r="69" spans="1:19" hidden="1">
      <c r="A69" s="731">
        <f t="shared" si="4"/>
        <v>2.5299999999999887</v>
      </c>
      <c r="B69" s="709"/>
      <c r="C69" s="717">
        <f t="shared" si="0"/>
        <v>0</v>
      </c>
      <c r="D69" s="717">
        <f t="shared" si="1"/>
        <v>0</v>
      </c>
      <c r="E69" s="717"/>
      <c r="F69" s="717"/>
      <c r="G69" s="717">
        <f t="shared" si="2"/>
        <v>0</v>
      </c>
      <c r="H69" s="717"/>
      <c r="I69" s="717">
        <f t="shared" si="5"/>
        <v>0</v>
      </c>
      <c r="J69" s="717">
        <f t="shared" si="5"/>
        <v>0</v>
      </c>
      <c r="K69" s="717">
        <f t="shared" si="5"/>
        <v>0</v>
      </c>
      <c r="L69" s="717"/>
      <c r="M69" s="709"/>
      <c r="N69" s="709"/>
      <c r="O69" s="709"/>
      <c r="P69" s="717"/>
      <c r="Q69" s="709"/>
      <c r="R69" s="709"/>
      <c r="S69" s="709"/>
    </row>
    <row r="70" spans="1:19" hidden="1">
      <c r="A70" s="731">
        <f t="shared" si="4"/>
        <v>2.5399999999999885</v>
      </c>
      <c r="B70" s="709"/>
      <c r="C70" s="717">
        <f t="shared" si="0"/>
        <v>0</v>
      </c>
      <c r="D70" s="717">
        <f t="shared" si="1"/>
        <v>0</v>
      </c>
      <c r="E70" s="717"/>
      <c r="F70" s="717"/>
      <c r="G70" s="717">
        <f t="shared" si="2"/>
        <v>0</v>
      </c>
      <c r="H70" s="717"/>
      <c r="I70" s="717">
        <f t="shared" si="5"/>
        <v>0</v>
      </c>
      <c r="J70" s="717">
        <f t="shared" si="5"/>
        <v>0</v>
      </c>
      <c r="K70" s="717">
        <f t="shared" si="5"/>
        <v>0</v>
      </c>
      <c r="L70" s="717"/>
      <c r="M70" s="709"/>
      <c r="N70" s="709"/>
      <c r="O70" s="709"/>
      <c r="P70" s="717"/>
      <c r="Q70" s="709"/>
      <c r="R70" s="709"/>
      <c r="S70" s="709"/>
    </row>
    <row r="71" spans="1:19" hidden="1">
      <c r="A71" s="731">
        <f t="shared" si="4"/>
        <v>2.5499999999999883</v>
      </c>
      <c r="B71" s="709"/>
      <c r="C71" s="717">
        <f t="shared" si="0"/>
        <v>0</v>
      </c>
      <c r="D71" s="717">
        <f t="shared" si="1"/>
        <v>0</v>
      </c>
      <c r="E71" s="717"/>
      <c r="F71" s="717"/>
      <c r="G71" s="717">
        <f t="shared" si="2"/>
        <v>0</v>
      </c>
      <c r="H71" s="717"/>
      <c r="I71" s="717">
        <f t="shared" si="5"/>
        <v>0</v>
      </c>
      <c r="J71" s="717">
        <f t="shared" si="5"/>
        <v>0</v>
      </c>
      <c r="K71" s="717">
        <f t="shared" si="5"/>
        <v>0</v>
      </c>
      <c r="L71" s="717"/>
      <c r="M71" s="709"/>
      <c r="N71" s="709"/>
      <c r="O71" s="709"/>
      <c r="P71" s="717"/>
      <c r="Q71" s="709"/>
      <c r="R71" s="709"/>
      <c r="S71" s="709"/>
    </row>
    <row r="72" spans="1:19" hidden="1">
      <c r="A72" s="731">
        <f t="shared" si="4"/>
        <v>2.5599999999999881</v>
      </c>
      <c r="B72" s="709"/>
      <c r="C72" s="717">
        <f t="shared" si="0"/>
        <v>0</v>
      </c>
      <c r="D72" s="717">
        <f t="shared" si="1"/>
        <v>0</v>
      </c>
      <c r="E72" s="717"/>
      <c r="F72" s="717"/>
      <c r="G72" s="717">
        <f t="shared" si="2"/>
        <v>0</v>
      </c>
      <c r="H72" s="717"/>
      <c r="I72" s="717">
        <f t="shared" si="5"/>
        <v>0</v>
      </c>
      <c r="J72" s="717">
        <f t="shared" si="5"/>
        <v>0</v>
      </c>
      <c r="K72" s="717">
        <f t="shared" si="5"/>
        <v>0</v>
      </c>
      <c r="L72" s="717"/>
      <c r="M72" s="709"/>
      <c r="N72" s="709"/>
      <c r="O72" s="709"/>
      <c r="P72" s="717"/>
      <c r="Q72" s="709"/>
      <c r="R72" s="709"/>
      <c r="S72" s="709"/>
    </row>
    <row r="73" spans="1:19" hidden="1">
      <c r="A73" s="731">
        <f t="shared" si="4"/>
        <v>2.5699999999999878</v>
      </c>
      <c r="B73" s="709"/>
      <c r="C73" s="717">
        <f t="shared" si="0"/>
        <v>0</v>
      </c>
      <c r="D73" s="717">
        <f t="shared" si="1"/>
        <v>0</v>
      </c>
      <c r="E73" s="717"/>
      <c r="F73" s="717"/>
      <c r="G73" s="717">
        <f t="shared" si="2"/>
        <v>0</v>
      </c>
      <c r="H73" s="717"/>
      <c r="I73" s="717">
        <f t="shared" si="5"/>
        <v>0</v>
      </c>
      <c r="J73" s="717">
        <f t="shared" si="5"/>
        <v>0</v>
      </c>
      <c r="K73" s="717">
        <f t="shared" si="5"/>
        <v>0</v>
      </c>
      <c r="L73" s="717"/>
      <c r="M73" s="709"/>
      <c r="N73" s="709"/>
      <c r="O73" s="709"/>
      <c r="P73" s="717"/>
      <c r="Q73" s="709"/>
      <c r="R73" s="709"/>
      <c r="S73" s="709"/>
    </row>
    <row r="74" spans="1:19" hidden="1">
      <c r="A74" s="731">
        <f t="shared" si="4"/>
        <v>2.5799999999999876</v>
      </c>
      <c r="B74" s="709"/>
      <c r="C74" s="717">
        <f t="shared" si="0"/>
        <v>0</v>
      </c>
      <c r="D74" s="717">
        <f t="shared" si="1"/>
        <v>0</v>
      </c>
      <c r="E74" s="717"/>
      <c r="F74" s="717"/>
      <c r="G74" s="717">
        <f t="shared" si="2"/>
        <v>0</v>
      </c>
      <c r="H74" s="717"/>
      <c r="I74" s="717">
        <f t="shared" si="5"/>
        <v>0</v>
      </c>
      <c r="J74" s="717">
        <f t="shared" si="5"/>
        <v>0</v>
      </c>
      <c r="K74" s="717">
        <f t="shared" si="5"/>
        <v>0</v>
      </c>
      <c r="L74" s="717"/>
      <c r="M74" s="709"/>
      <c r="N74" s="709"/>
      <c r="O74" s="709"/>
      <c r="P74" s="717"/>
      <c r="Q74" s="709"/>
      <c r="R74" s="709"/>
      <c r="S74" s="709"/>
    </row>
    <row r="75" spans="1:19" hidden="1">
      <c r="A75" s="731">
        <f t="shared" si="4"/>
        <v>2.5899999999999874</v>
      </c>
      <c r="B75" s="709"/>
      <c r="C75" s="717">
        <f t="shared" si="0"/>
        <v>0</v>
      </c>
      <c r="D75" s="717">
        <f t="shared" si="1"/>
        <v>0</v>
      </c>
      <c r="E75" s="717"/>
      <c r="F75" s="717"/>
      <c r="G75" s="717">
        <f t="shared" si="2"/>
        <v>0</v>
      </c>
      <c r="H75" s="717"/>
      <c r="I75" s="717">
        <f t="shared" si="5"/>
        <v>0</v>
      </c>
      <c r="J75" s="717">
        <f t="shared" si="5"/>
        <v>0</v>
      </c>
      <c r="K75" s="717">
        <f t="shared" si="5"/>
        <v>0</v>
      </c>
      <c r="L75" s="717"/>
      <c r="M75" s="709"/>
      <c r="N75" s="709"/>
      <c r="O75" s="709"/>
      <c r="P75" s="717"/>
      <c r="Q75" s="709"/>
      <c r="R75" s="709"/>
      <c r="S75" s="709"/>
    </row>
    <row r="76" spans="1:19" hidden="1">
      <c r="A76" s="731">
        <f t="shared" si="4"/>
        <v>2.5999999999999872</v>
      </c>
      <c r="B76" s="709"/>
      <c r="C76" s="717">
        <f t="shared" si="0"/>
        <v>0</v>
      </c>
      <c r="D76" s="717">
        <f t="shared" si="1"/>
        <v>0</v>
      </c>
      <c r="E76" s="717"/>
      <c r="F76" s="717"/>
      <c r="G76" s="717">
        <f t="shared" si="2"/>
        <v>0</v>
      </c>
      <c r="H76" s="717"/>
      <c r="I76" s="717">
        <f t="shared" si="5"/>
        <v>0</v>
      </c>
      <c r="J76" s="717">
        <f t="shared" si="5"/>
        <v>0</v>
      </c>
      <c r="K76" s="717">
        <f t="shared" si="5"/>
        <v>0</v>
      </c>
      <c r="L76" s="717"/>
      <c r="M76" s="709"/>
      <c r="N76" s="709"/>
      <c r="O76" s="709"/>
      <c r="P76" s="717"/>
      <c r="Q76" s="709"/>
      <c r="R76" s="709"/>
      <c r="S76" s="709"/>
    </row>
    <row r="77" spans="1:19" hidden="1">
      <c r="A77" s="731">
        <f t="shared" si="4"/>
        <v>2.609999999999987</v>
      </c>
      <c r="B77" s="709"/>
      <c r="C77" s="721">
        <f t="shared" si="0"/>
        <v>0</v>
      </c>
      <c r="D77" s="721">
        <f t="shared" si="1"/>
        <v>0</v>
      </c>
      <c r="E77" s="721"/>
      <c r="F77" s="721"/>
      <c r="G77" s="721">
        <f t="shared" si="2"/>
        <v>0</v>
      </c>
      <c r="H77" s="721"/>
      <c r="I77" s="721">
        <f t="shared" si="5"/>
        <v>0</v>
      </c>
      <c r="J77" s="721">
        <f t="shared" si="5"/>
        <v>0</v>
      </c>
      <c r="K77" s="721">
        <f t="shared" si="5"/>
        <v>0</v>
      </c>
      <c r="L77" s="721"/>
      <c r="M77" s="709"/>
      <c r="N77" s="709"/>
      <c r="O77" s="709"/>
      <c r="P77" s="721"/>
      <c r="Q77" s="709"/>
      <c r="R77" s="709"/>
      <c r="S77" s="709"/>
    </row>
    <row r="78" spans="1:19" hidden="1">
      <c r="A78" s="731">
        <f t="shared" si="4"/>
        <v>2.6199999999999868</v>
      </c>
      <c r="B78" s="709"/>
      <c r="C78" s="721">
        <f t="shared" si="0"/>
        <v>0</v>
      </c>
      <c r="D78" s="721">
        <f t="shared" si="1"/>
        <v>0</v>
      </c>
      <c r="E78" s="721"/>
      <c r="F78" s="721"/>
      <c r="G78" s="721">
        <f t="shared" si="2"/>
        <v>0</v>
      </c>
      <c r="H78" s="721"/>
      <c r="I78" s="721">
        <f t="shared" si="5"/>
        <v>0</v>
      </c>
      <c r="J78" s="721">
        <f t="shared" si="5"/>
        <v>0</v>
      </c>
      <c r="K78" s="721">
        <f t="shared" si="5"/>
        <v>0</v>
      </c>
      <c r="L78" s="721"/>
      <c r="M78" s="709"/>
      <c r="N78" s="709"/>
      <c r="O78" s="709"/>
      <c r="P78" s="721"/>
      <c r="Q78" s="709"/>
      <c r="R78" s="709"/>
      <c r="S78" s="709"/>
    </row>
    <row r="79" spans="1:19" hidden="1">
      <c r="A79" s="731">
        <f t="shared" si="4"/>
        <v>2.6299999999999866</v>
      </c>
      <c r="B79" s="709"/>
      <c r="C79" s="717">
        <f t="shared" si="0"/>
        <v>0</v>
      </c>
      <c r="D79" s="717">
        <f t="shared" si="1"/>
        <v>0</v>
      </c>
      <c r="E79" s="717"/>
      <c r="F79" s="717"/>
      <c r="G79" s="717">
        <f t="shared" si="2"/>
        <v>0</v>
      </c>
      <c r="H79" s="717"/>
      <c r="I79" s="717">
        <f t="shared" si="5"/>
        <v>0</v>
      </c>
      <c r="J79" s="717">
        <f t="shared" si="5"/>
        <v>0</v>
      </c>
      <c r="K79" s="717">
        <f t="shared" si="5"/>
        <v>0</v>
      </c>
      <c r="L79" s="717"/>
      <c r="M79" s="709"/>
      <c r="N79" s="709"/>
      <c r="O79" s="709"/>
      <c r="P79" s="717"/>
      <c r="Q79" s="709"/>
      <c r="R79" s="709"/>
      <c r="S79" s="709"/>
    </row>
    <row r="80" spans="1:19" hidden="1">
      <c r="A80" s="731">
        <f t="shared" si="4"/>
        <v>2.6399999999999864</v>
      </c>
      <c r="B80" s="709"/>
      <c r="C80" s="717">
        <f t="shared" si="0"/>
        <v>0</v>
      </c>
      <c r="D80" s="717">
        <f t="shared" si="1"/>
        <v>0</v>
      </c>
      <c r="E80" s="717"/>
      <c r="F80" s="717"/>
      <c r="G80" s="717">
        <f t="shared" si="2"/>
        <v>0</v>
      </c>
      <c r="H80" s="717"/>
      <c r="I80" s="717">
        <f t="shared" si="5"/>
        <v>0</v>
      </c>
      <c r="J80" s="717">
        <f t="shared" si="5"/>
        <v>0</v>
      </c>
      <c r="K80" s="717">
        <f t="shared" si="5"/>
        <v>0</v>
      </c>
      <c r="L80" s="717"/>
      <c r="M80" s="709"/>
      <c r="N80" s="709"/>
      <c r="O80" s="709"/>
      <c r="P80" s="717"/>
      <c r="Q80" s="709"/>
      <c r="R80" s="709"/>
      <c r="S80" s="709"/>
    </row>
    <row r="81" spans="1:19" hidden="1">
      <c r="A81" s="731">
        <f t="shared" si="4"/>
        <v>2.6499999999999861</v>
      </c>
      <c r="B81" s="709"/>
      <c r="C81" s="717">
        <f t="shared" ref="C81:C95" si="6">SUM(M81:O81)</f>
        <v>0</v>
      </c>
      <c r="D81" s="717">
        <f t="shared" ref="D81:D95" si="7">SUM(Q81:S81)</f>
        <v>0</v>
      </c>
      <c r="E81" s="717"/>
      <c r="F81" s="717"/>
      <c r="G81" s="717">
        <f t="shared" ref="G81:G107" si="8">ROUND(SUM(C81:F81)/2,0)</f>
        <v>0</v>
      </c>
      <c r="H81" s="717"/>
      <c r="I81" s="717">
        <f t="shared" ref="I81:K95" si="9">(M81+Q81)/2</f>
        <v>0</v>
      </c>
      <c r="J81" s="717">
        <f t="shared" si="9"/>
        <v>0</v>
      </c>
      <c r="K81" s="717">
        <f t="shared" si="9"/>
        <v>0</v>
      </c>
      <c r="L81" s="717"/>
      <c r="M81" s="709"/>
      <c r="N81" s="709"/>
      <c r="O81" s="709"/>
      <c r="P81" s="717"/>
      <c r="Q81" s="709"/>
      <c r="R81" s="709"/>
      <c r="S81" s="709"/>
    </row>
    <row r="82" spans="1:19" hidden="1">
      <c r="A82" s="731">
        <f t="shared" si="4"/>
        <v>2.6599999999999859</v>
      </c>
      <c r="B82" s="709"/>
      <c r="C82" s="717">
        <f t="shared" si="6"/>
        <v>0</v>
      </c>
      <c r="D82" s="717">
        <f t="shared" si="7"/>
        <v>0</v>
      </c>
      <c r="E82" s="717"/>
      <c r="F82" s="717"/>
      <c r="G82" s="717">
        <f t="shared" si="8"/>
        <v>0</v>
      </c>
      <c r="H82" s="717"/>
      <c r="I82" s="717">
        <f t="shared" si="9"/>
        <v>0</v>
      </c>
      <c r="J82" s="717">
        <f t="shared" si="9"/>
        <v>0</v>
      </c>
      <c r="K82" s="717">
        <f t="shared" si="9"/>
        <v>0</v>
      </c>
      <c r="L82" s="717"/>
      <c r="M82" s="709"/>
      <c r="N82" s="709"/>
      <c r="O82" s="709"/>
      <c r="P82" s="717"/>
      <c r="Q82" s="709"/>
      <c r="R82" s="709"/>
      <c r="S82" s="709"/>
    </row>
    <row r="83" spans="1:19" hidden="1">
      <c r="A83" s="731">
        <f t="shared" ref="A83:A107" si="10">A82+0.01</f>
        <v>2.6699999999999857</v>
      </c>
      <c r="B83" s="709"/>
      <c r="C83" s="717">
        <f t="shared" si="6"/>
        <v>0</v>
      </c>
      <c r="D83" s="717">
        <f t="shared" si="7"/>
        <v>0</v>
      </c>
      <c r="E83" s="717"/>
      <c r="F83" s="717"/>
      <c r="G83" s="717">
        <f t="shared" si="8"/>
        <v>0</v>
      </c>
      <c r="H83" s="717"/>
      <c r="I83" s="717">
        <f t="shared" si="9"/>
        <v>0</v>
      </c>
      <c r="J83" s="717">
        <f t="shared" si="9"/>
        <v>0</v>
      </c>
      <c r="K83" s="717">
        <f t="shared" si="9"/>
        <v>0</v>
      </c>
      <c r="L83" s="717"/>
      <c r="M83" s="709"/>
      <c r="N83" s="709"/>
      <c r="O83" s="709"/>
      <c r="P83" s="717"/>
      <c r="Q83" s="709"/>
      <c r="R83" s="709"/>
      <c r="S83" s="709"/>
    </row>
    <row r="84" spans="1:19" hidden="1">
      <c r="A84" s="731">
        <f t="shared" si="10"/>
        <v>2.6799999999999855</v>
      </c>
      <c r="B84" s="709"/>
      <c r="C84" s="717">
        <f t="shared" si="6"/>
        <v>0</v>
      </c>
      <c r="D84" s="717">
        <f t="shared" si="7"/>
        <v>0</v>
      </c>
      <c r="E84" s="717"/>
      <c r="F84" s="717"/>
      <c r="G84" s="717">
        <f t="shared" si="8"/>
        <v>0</v>
      </c>
      <c r="H84" s="717"/>
      <c r="I84" s="717">
        <f t="shared" si="9"/>
        <v>0</v>
      </c>
      <c r="J84" s="717">
        <f t="shared" si="9"/>
        <v>0</v>
      </c>
      <c r="K84" s="717">
        <f t="shared" si="9"/>
        <v>0</v>
      </c>
      <c r="L84" s="717"/>
      <c r="M84" s="709"/>
      <c r="N84" s="709"/>
      <c r="O84" s="709"/>
      <c r="P84" s="717"/>
      <c r="Q84" s="709"/>
      <c r="R84" s="709"/>
      <c r="S84" s="709"/>
    </row>
    <row r="85" spans="1:19" hidden="1">
      <c r="A85" s="731">
        <f t="shared" si="10"/>
        <v>2.6899999999999853</v>
      </c>
      <c r="B85" s="709"/>
      <c r="C85" s="717">
        <f t="shared" si="6"/>
        <v>0</v>
      </c>
      <c r="D85" s="717">
        <f t="shared" si="7"/>
        <v>0</v>
      </c>
      <c r="E85" s="717"/>
      <c r="F85" s="717"/>
      <c r="G85" s="717">
        <f t="shared" si="8"/>
        <v>0</v>
      </c>
      <c r="H85" s="717"/>
      <c r="I85" s="717">
        <f t="shared" si="9"/>
        <v>0</v>
      </c>
      <c r="J85" s="717">
        <f t="shared" si="9"/>
        <v>0</v>
      </c>
      <c r="K85" s="717">
        <f t="shared" si="9"/>
        <v>0</v>
      </c>
      <c r="L85" s="717"/>
      <c r="M85" s="709"/>
      <c r="N85" s="709"/>
      <c r="O85" s="709"/>
      <c r="P85" s="717"/>
      <c r="Q85" s="709"/>
      <c r="R85" s="709"/>
      <c r="S85" s="709"/>
    </row>
    <row r="86" spans="1:19" hidden="1">
      <c r="A86" s="731">
        <f t="shared" si="10"/>
        <v>2.6999999999999851</v>
      </c>
      <c r="B86" s="709"/>
      <c r="C86" s="717">
        <f t="shared" si="6"/>
        <v>0</v>
      </c>
      <c r="D86" s="717">
        <f t="shared" si="7"/>
        <v>0</v>
      </c>
      <c r="E86" s="717"/>
      <c r="F86" s="717"/>
      <c r="G86" s="717">
        <f t="shared" si="8"/>
        <v>0</v>
      </c>
      <c r="H86" s="717"/>
      <c r="I86" s="717">
        <f t="shared" si="9"/>
        <v>0</v>
      </c>
      <c r="J86" s="717">
        <f t="shared" si="9"/>
        <v>0</v>
      </c>
      <c r="K86" s="717">
        <f t="shared" si="9"/>
        <v>0</v>
      </c>
      <c r="L86" s="717"/>
      <c r="M86" s="709"/>
      <c r="N86" s="709"/>
      <c r="O86" s="709"/>
      <c r="P86" s="717"/>
      <c r="Q86" s="709"/>
      <c r="R86" s="709"/>
      <c r="S86" s="709"/>
    </row>
    <row r="87" spans="1:19" hidden="1">
      <c r="A87" s="731">
        <f t="shared" si="10"/>
        <v>2.7099999999999849</v>
      </c>
      <c r="B87" s="709"/>
      <c r="C87" s="717">
        <f t="shared" si="6"/>
        <v>0</v>
      </c>
      <c r="D87" s="717">
        <f t="shared" si="7"/>
        <v>0</v>
      </c>
      <c r="E87" s="717"/>
      <c r="F87" s="717"/>
      <c r="G87" s="717">
        <f t="shared" si="8"/>
        <v>0</v>
      </c>
      <c r="H87" s="717"/>
      <c r="I87" s="717">
        <f t="shared" si="9"/>
        <v>0</v>
      </c>
      <c r="J87" s="717">
        <f t="shared" si="9"/>
        <v>0</v>
      </c>
      <c r="K87" s="717">
        <f t="shared" si="9"/>
        <v>0</v>
      </c>
      <c r="L87" s="717"/>
      <c r="M87" s="709"/>
      <c r="N87" s="709"/>
      <c r="O87" s="709"/>
      <c r="P87" s="717"/>
      <c r="Q87" s="709"/>
      <c r="R87" s="709"/>
      <c r="S87" s="709"/>
    </row>
    <row r="88" spans="1:19" hidden="1">
      <c r="A88" s="731">
        <f t="shared" si="10"/>
        <v>2.7199999999999847</v>
      </c>
      <c r="B88" s="709"/>
      <c r="C88" s="717">
        <f t="shared" si="6"/>
        <v>0</v>
      </c>
      <c r="D88" s="717">
        <f t="shared" si="7"/>
        <v>0</v>
      </c>
      <c r="E88" s="717"/>
      <c r="F88" s="717"/>
      <c r="G88" s="717">
        <f t="shared" si="8"/>
        <v>0</v>
      </c>
      <c r="H88" s="717"/>
      <c r="I88" s="717">
        <f t="shared" si="9"/>
        <v>0</v>
      </c>
      <c r="J88" s="717">
        <f t="shared" si="9"/>
        <v>0</v>
      </c>
      <c r="K88" s="717">
        <f t="shared" si="9"/>
        <v>0</v>
      </c>
      <c r="L88" s="717"/>
      <c r="M88" s="709"/>
      <c r="N88" s="709"/>
      <c r="O88" s="709"/>
      <c r="P88" s="717"/>
      <c r="Q88" s="709"/>
      <c r="R88" s="709"/>
      <c r="S88" s="709"/>
    </row>
    <row r="89" spans="1:19" hidden="1">
      <c r="A89" s="731">
        <f t="shared" si="10"/>
        <v>2.7299999999999844</v>
      </c>
      <c r="B89" s="709"/>
      <c r="C89" s="717">
        <f t="shared" si="6"/>
        <v>0</v>
      </c>
      <c r="D89" s="717">
        <f t="shared" si="7"/>
        <v>0</v>
      </c>
      <c r="E89" s="717"/>
      <c r="F89" s="717"/>
      <c r="G89" s="717">
        <f t="shared" si="8"/>
        <v>0</v>
      </c>
      <c r="H89" s="717"/>
      <c r="I89" s="717">
        <f t="shared" si="9"/>
        <v>0</v>
      </c>
      <c r="J89" s="717">
        <f t="shared" si="9"/>
        <v>0</v>
      </c>
      <c r="K89" s="717">
        <f t="shared" si="9"/>
        <v>0</v>
      </c>
      <c r="L89" s="717"/>
      <c r="M89" s="709"/>
      <c r="N89" s="709"/>
      <c r="O89" s="709"/>
      <c r="P89" s="717"/>
      <c r="Q89" s="709"/>
      <c r="R89" s="709"/>
      <c r="S89" s="709"/>
    </row>
    <row r="90" spans="1:19" hidden="1">
      <c r="A90" s="731">
        <f t="shared" si="10"/>
        <v>2.7399999999999842</v>
      </c>
      <c r="B90" s="709"/>
      <c r="C90" s="717">
        <f t="shared" si="6"/>
        <v>0</v>
      </c>
      <c r="D90" s="717">
        <f t="shared" si="7"/>
        <v>0</v>
      </c>
      <c r="E90" s="717"/>
      <c r="F90" s="717"/>
      <c r="G90" s="717">
        <f t="shared" si="8"/>
        <v>0</v>
      </c>
      <c r="H90" s="717"/>
      <c r="I90" s="717">
        <f t="shared" si="9"/>
        <v>0</v>
      </c>
      <c r="J90" s="717">
        <f t="shared" si="9"/>
        <v>0</v>
      </c>
      <c r="K90" s="717">
        <f t="shared" si="9"/>
        <v>0</v>
      </c>
      <c r="L90" s="717"/>
      <c r="M90" s="709"/>
      <c r="N90" s="709"/>
      <c r="O90" s="709"/>
      <c r="P90" s="717"/>
      <c r="Q90" s="709"/>
      <c r="R90" s="709"/>
      <c r="S90" s="709"/>
    </row>
    <row r="91" spans="1:19" hidden="1">
      <c r="A91" s="731">
        <f t="shared" si="10"/>
        <v>2.749999999999984</v>
      </c>
      <c r="B91" s="709"/>
      <c r="C91" s="717">
        <f t="shared" si="6"/>
        <v>0</v>
      </c>
      <c r="D91" s="717">
        <f t="shared" si="7"/>
        <v>0</v>
      </c>
      <c r="E91" s="717"/>
      <c r="F91" s="717"/>
      <c r="G91" s="717">
        <f t="shared" si="8"/>
        <v>0</v>
      </c>
      <c r="H91" s="717"/>
      <c r="I91" s="717">
        <f t="shared" si="9"/>
        <v>0</v>
      </c>
      <c r="J91" s="717">
        <f t="shared" si="9"/>
        <v>0</v>
      </c>
      <c r="K91" s="717">
        <f t="shared" si="9"/>
        <v>0</v>
      </c>
      <c r="L91" s="717"/>
      <c r="M91" s="709"/>
      <c r="N91" s="709"/>
      <c r="O91" s="709"/>
      <c r="P91" s="717"/>
      <c r="Q91" s="709"/>
      <c r="R91" s="709"/>
      <c r="S91" s="709"/>
    </row>
    <row r="92" spans="1:19" hidden="1">
      <c r="A92" s="731">
        <f t="shared" si="10"/>
        <v>2.7599999999999838</v>
      </c>
      <c r="B92" s="709"/>
      <c r="C92" s="717">
        <f t="shared" si="6"/>
        <v>0</v>
      </c>
      <c r="D92" s="717">
        <f t="shared" si="7"/>
        <v>0</v>
      </c>
      <c r="E92" s="717"/>
      <c r="F92" s="717"/>
      <c r="G92" s="717">
        <f t="shared" si="8"/>
        <v>0</v>
      </c>
      <c r="H92" s="717"/>
      <c r="I92" s="717">
        <f t="shared" si="9"/>
        <v>0</v>
      </c>
      <c r="J92" s="717">
        <f t="shared" si="9"/>
        <v>0</v>
      </c>
      <c r="K92" s="717">
        <f t="shared" si="9"/>
        <v>0</v>
      </c>
      <c r="L92" s="717"/>
      <c r="M92" s="709"/>
      <c r="N92" s="709"/>
      <c r="O92" s="709"/>
      <c r="P92" s="717"/>
      <c r="Q92" s="709"/>
      <c r="R92" s="709"/>
      <c r="S92" s="709"/>
    </row>
    <row r="93" spans="1:19" hidden="1">
      <c r="A93" s="731">
        <f t="shared" si="10"/>
        <v>2.7699999999999836</v>
      </c>
      <c r="B93" s="709"/>
      <c r="C93" s="717">
        <f t="shared" si="6"/>
        <v>0</v>
      </c>
      <c r="D93" s="717">
        <f t="shared" si="7"/>
        <v>0</v>
      </c>
      <c r="E93" s="717"/>
      <c r="F93" s="717"/>
      <c r="G93" s="717">
        <f t="shared" si="8"/>
        <v>0</v>
      </c>
      <c r="H93" s="717"/>
      <c r="I93" s="717">
        <f t="shared" si="9"/>
        <v>0</v>
      </c>
      <c r="J93" s="717">
        <f t="shared" si="9"/>
        <v>0</v>
      </c>
      <c r="K93" s="717">
        <f t="shared" si="9"/>
        <v>0</v>
      </c>
      <c r="L93" s="717"/>
      <c r="M93" s="709"/>
      <c r="N93" s="709"/>
      <c r="O93" s="709"/>
      <c r="P93" s="717"/>
      <c r="Q93" s="709"/>
      <c r="R93" s="709"/>
      <c r="S93" s="709"/>
    </row>
    <row r="94" spans="1:19" hidden="1">
      <c r="A94" s="731">
        <f t="shared" si="10"/>
        <v>2.7799999999999834</v>
      </c>
      <c r="B94" s="709"/>
      <c r="C94" s="717">
        <f t="shared" si="6"/>
        <v>0</v>
      </c>
      <c r="D94" s="717">
        <f t="shared" si="7"/>
        <v>0</v>
      </c>
      <c r="E94" s="717"/>
      <c r="F94" s="717"/>
      <c r="G94" s="717">
        <f t="shared" si="8"/>
        <v>0</v>
      </c>
      <c r="H94" s="717"/>
      <c r="I94" s="717">
        <f t="shared" si="9"/>
        <v>0</v>
      </c>
      <c r="J94" s="717">
        <f t="shared" si="9"/>
        <v>0</v>
      </c>
      <c r="K94" s="717">
        <f t="shared" si="9"/>
        <v>0</v>
      </c>
      <c r="L94" s="717"/>
      <c r="M94" s="709"/>
      <c r="N94" s="709"/>
      <c r="O94" s="709"/>
      <c r="P94" s="717"/>
      <c r="Q94" s="709"/>
      <c r="R94" s="709"/>
      <c r="S94" s="709"/>
    </row>
    <row r="95" spans="1:19" hidden="1">
      <c r="A95" s="731">
        <f t="shared" si="10"/>
        <v>2.7899999999999832</v>
      </c>
      <c r="B95" s="709"/>
      <c r="C95" s="717">
        <f t="shared" si="6"/>
        <v>0</v>
      </c>
      <c r="D95" s="717">
        <f t="shared" si="7"/>
        <v>0</v>
      </c>
      <c r="E95" s="717"/>
      <c r="F95" s="717"/>
      <c r="G95" s="717">
        <f t="shared" si="8"/>
        <v>0</v>
      </c>
      <c r="H95" s="717"/>
      <c r="I95" s="717">
        <f t="shared" si="9"/>
        <v>0</v>
      </c>
      <c r="J95" s="717">
        <f t="shared" si="9"/>
        <v>0</v>
      </c>
      <c r="K95" s="717">
        <f t="shared" si="9"/>
        <v>0</v>
      </c>
      <c r="L95" s="717"/>
      <c r="M95" s="709"/>
      <c r="N95" s="709"/>
      <c r="O95" s="709"/>
      <c r="P95" s="717"/>
      <c r="Q95" s="709"/>
      <c r="R95" s="709"/>
      <c r="S95" s="709"/>
    </row>
    <row r="96" spans="1:19" hidden="1">
      <c r="A96" s="731">
        <f t="shared" si="10"/>
        <v>2.7999999999999829</v>
      </c>
      <c r="B96" s="709"/>
      <c r="C96" s="709"/>
      <c r="D96" s="709"/>
      <c r="E96" s="717">
        <f t="shared" ref="E96:F106" si="11">-C96</f>
        <v>0</v>
      </c>
      <c r="F96" s="717">
        <f t="shared" si="11"/>
        <v>0</v>
      </c>
      <c r="G96" s="717">
        <f t="shared" si="8"/>
        <v>0</v>
      </c>
      <c r="H96" s="717"/>
      <c r="I96" s="717"/>
      <c r="J96" s="717"/>
      <c r="K96" s="717"/>
      <c r="L96" s="717"/>
      <c r="M96" s="717"/>
      <c r="N96" s="717"/>
      <c r="O96" s="717"/>
      <c r="P96" s="717"/>
      <c r="Q96" s="717"/>
      <c r="R96" s="717"/>
      <c r="S96" s="717"/>
    </row>
    <row r="97" spans="1:256">
      <c r="A97" s="731">
        <f t="shared" si="10"/>
        <v>2.8099999999999827</v>
      </c>
      <c r="B97" s="709"/>
      <c r="C97" s="709"/>
      <c r="D97" s="709"/>
      <c r="E97" s="717">
        <f t="shared" si="11"/>
        <v>0</v>
      </c>
      <c r="F97" s="717">
        <f t="shared" si="11"/>
        <v>0</v>
      </c>
      <c r="G97" s="717">
        <f t="shared" si="8"/>
        <v>0</v>
      </c>
      <c r="H97" s="717"/>
      <c r="I97" s="717"/>
      <c r="J97" s="717"/>
      <c r="K97" s="717"/>
      <c r="L97" s="717"/>
      <c r="M97" s="717"/>
      <c r="N97" s="717"/>
      <c r="O97" s="717"/>
      <c r="P97" s="717"/>
      <c r="Q97" s="717"/>
      <c r="R97" s="717"/>
      <c r="S97" s="717"/>
    </row>
    <row r="98" spans="1:256">
      <c r="A98" s="731">
        <f t="shared" si="10"/>
        <v>2.8199999999999825</v>
      </c>
      <c r="B98" s="709"/>
      <c r="C98" s="709"/>
      <c r="D98" s="709"/>
      <c r="E98" s="717">
        <f t="shared" si="11"/>
        <v>0</v>
      </c>
      <c r="F98" s="717">
        <f t="shared" si="11"/>
        <v>0</v>
      </c>
      <c r="G98" s="717">
        <f t="shared" si="8"/>
        <v>0</v>
      </c>
      <c r="H98" s="717"/>
      <c r="I98" s="717"/>
      <c r="J98" s="717"/>
      <c r="K98" s="717"/>
      <c r="L98" s="717"/>
      <c r="M98" s="717"/>
      <c r="N98" s="717"/>
      <c r="O98" s="717"/>
      <c r="P98" s="717"/>
      <c r="Q98" s="717"/>
      <c r="R98" s="717"/>
      <c r="S98" s="717"/>
    </row>
    <row r="99" spans="1:256">
      <c r="A99" s="731">
        <f t="shared" si="10"/>
        <v>2.8299999999999823</v>
      </c>
      <c r="B99" s="709"/>
      <c r="C99" s="709"/>
      <c r="D99" s="709"/>
      <c r="E99" s="717">
        <f t="shared" si="11"/>
        <v>0</v>
      </c>
      <c r="F99" s="717">
        <f t="shared" si="11"/>
        <v>0</v>
      </c>
      <c r="G99" s="717">
        <f t="shared" si="8"/>
        <v>0</v>
      </c>
      <c r="H99" s="717"/>
      <c r="I99" s="717"/>
      <c r="J99" s="717"/>
      <c r="K99" s="717"/>
      <c r="L99" s="717"/>
      <c r="M99" s="717"/>
      <c r="N99" s="717"/>
      <c r="O99" s="717"/>
      <c r="P99" s="717"/>
      <c r="Q99" s="717"/>
      <c r="R99" s="717"/>
      <c r="S99" s="717"/>
    </row>
    <row r="100" spans="1:256">
      <c r="A100" s="731">
        <f t="shared" si="10"/>
        <v>2.8399999999999821</v>
      </c>
      <c r="B100" s="709"/>
      <c r="C100" s="709"/>
      <c r="D100" s="709"/>
      <c r="E100" s="717">
        <f t="shared" si="11"/>
        <v>0</v>
      </c>
      <c r="F100" s="717">
        <f t="shared" si="11"/>
        <v>0</v>
      </c>
      <c r="G100" s="717">
        <f t="shared" si="8"/>
        <v>0</v>
      </c>
      <c r="H100" s="717"/>
      <c r="I100" s="717"/>
      <c r="J100" s="717"/>
      <c r="K100" s="717"/>
      <c r="L100" s="717"/>
      <c r="M100" s="717"/>
      <c r="N100" s="717"/>
      <c r="O100" s="717"/>
      <c r="P100" s="717"/>
      <c r="Q100" s="717"/>
      <c r="R100" s="717"/>
      <c r="S100" s="717"/>
    </row>
    <row r="101" spans="1:256">
      <c r="A101" s="731">
        <f t="shared" si="10"/>
        <v>2.8499999999999819</v>
      </c>
      <c r="B101" s="709"/>
      <c r="C101" s="709"/>
      <c r="D101" s="709"/>
      <c r="E101" s="717">
        <f t="shared" si="11"/>
        <v>0</v>
      </c>
      <c r="F101" s="717">
        <f t="shared" si="11"/>
        <v>0</v>
      </c>
      <c r="G101" s="717">
        <f t="shared" si="8"/>
        <v>0</v>
      </c>
      <c r="H101" s="717"/>
      <c r="I101" s="717"/>
      <c r="J101" s="717"/>
      <c r="K101" s="717"/>
      <c r="L101" s="717"/>
      <c r="M101" s="717"/>
      <c r="N101" s="717"/>
      <c r="O101" s="717"/>
      <c r="P101" s="717"/>
      <c r="Q101" s="717"/>
      <c r="R101" s="717"/>
      <c r="S101" s="717"/>
    </row>
    <row r="102" spans="1:256">
      <c r="A102" s="731">
        <f t="shared" si="10"/>
        <v>2.8599999999999817</v>
      </c>
      <c r="B102" s="709"/>
      <c r="C102" s="709"/>
      <c r="D102" s="709"/>
      <c r="E102" s="717">
        <f t="shared" si="11"/>
        <v>0</v>
      </c>
      <c r="F102" s="717">
        <f t="shared" si="11"/>
        <v>0</v>
      </c>
      <c r="G102" s="717">
        <f t="shared" si="8"/>
        <v>0</v>
      </c>
      <c r="H102" s="717"/>
      <c r="I102" s="717"/>
      <c r="J102" s="717"/>
      <c r="K102" s="717"/>
      <c r="L102" s="717"/>
      <c r="M102" s="717"/>
      <c r="N102" s="717"/>
      <c r="O102" s="717"/>
      <c r="P102" s="717"/>
      <c r="Q102" s="717"/>
      <c r="R102" s="717"/>
      <c r="S102" s="717"/>
    </row>
    <row r="103" spans="1:256">
      <c r="A103" s="731">
        <f t="shared" si="10"/>
        <v>2.8699999999999815</v>
      </c>
      <c r="B103" s="709"/>
      <c r="C103" s="709"/>
      <c r="D103" s="709"/>
      <c r="E103" s="717">
        <f t="shared" si="11"/>
        <v>0</v>
      </c>
      <c r="F103" s="717">
        <f t="shared" si="11"/>
        <v>0</v>
      </c>
      <c r="G103" s="717">
        <f t="shared" si="8"/>
        <v>0</v>
      </c>
      <c r="H103" s="717"/>
      <c r="I103" s="717"/>
      <c r="J103" s="717"/>
      <c r="K103" s="717"/>
      <c r="L103" s="717"/>
      <c r="M103" s="717"/>
      <c r="N103" s="717"/>
      <c r="O103" s="717"/>
      <c r="P103" s="717"/>
      <c r="Q103" s="717"/>
      <c r="R103" s="717"/>
      <c r="S103" s="717"/>
    </row>
    <row r="104" spans="1:256">
      <c r="A104" s="731">
        <f t="shared" si="10"/>
        <v>2.8799999999999812</v>
      </c>
      <c r="B104" s="709"/>
      <c r="C104" s="709"/>
      <c r="D104" s="709"/>
      <c r="E104" s="717">
        <f t="shared" si="11"/>
        <v>0</v>
      </c>
      <c r="F104" s="717">
        <f t="shared" si="11"/>
        <v>0</v>
      </c>
      <c r="G104" s="717">
        <f t="shared" si="8"/>
        <v>0</v>
      </c>
      <c r="H104" s="717"/>
      <c r="I104" s="717"/>
      <c r="J104" s="717"/>
      <c r="K104" s="717"/>
      <c r="L104" s="717"/>
      <c r="M104" s="717"/>
      <c r="N104" s="717"/>
      <c r="O104" s="717"/>
      <c r="P104" s="717"/>
      <c r="Q104" s="717"/>
      <c r="R104" s="717"/>
      <c r="S104" s="717"/>
    </row>
    <row r="105" spans="1:256">
      <c r="A105" s="731">
        <f t="shared" si="10"/>
        <v>2.889999999999981</v>
      </c>
      <c r="B105" s="709"/>
      <c r="C105" s="709"/>
      <c r="D105" s="709"/>
      <c r="E105" s="717">
        <f t="shared" si="11"/>
        <v>0</v>
      </c>
      <c r="F105" s="717">
        <f t="shared" si="11"/>
        <v>0</v>
      </c>
      <c r="G105" s="717">
        <f t="shared" si="8"/>
        <v>0</v>
      </c>
      <c r="H105" s="717"/>
      <c r="I105" s="717"/>
      <c r="J105" s="717"/>
      <c r="K105" s="717"/>
      <c r="L105" s="717"/>
      <c r="M105" s="717"/>
      <c r="N105" s="717"/>
      <c r="O105" s="717"/>
      <c r="P105" s="717"/>
      <c r="Q105" s="717"/>
      <c r="R105" s="717"/>
      <c r="S105" s="717"/>
    </row>
    <row r="106" spans="1:256">
      <c r="A106" s="731">
        <f t="shared" si="10"/>
        <v>2.8999999999999808</v>
      </c>
      <c r="B106" s="709"/>
      <c r="C106" s="709"/>
      <c r="D106" s="709"/>
      <c r="E106" s="717">
        <f t="shared" si="11"/>
        <v>0</v>
      </c>
      <c r="F106" s="717">
        <f t="shared" si="11"/>
        <v>0</v>
      </c>
      <c r="G106" s="717">
        <f t="shared" si="8"/>
        <v>0</v>
      </c>
      <c r="H106" s="717"/>
      <c r="I106" s="717">
        <f t="shared" ref="I106:K107" si="12">(M106+Q106)/2</f>
        <v>0</v>
      </c>
      <c r="J106" s="717">
        <f t="shared" si="12"/>
        <v>0</v>
      </c>
      <c r="K106" s="717">
        <f t="shared" si="12"/>
        <v>0</v>
      </c>
      <c r="L106" s="717"/>
      <c r="M106" s="717"/>
      <c r="N106" s="717"/>
      <c r="O106" s="717"/>
      <c r="P106" s="717"/>
      <c r="Q106" s="717"/>
      <c r="R106" s="717"/>
      <c r="S106" s="717"/>
    </row>
    <row r="107" spans="1:256">
      <c r="A107" s="731">
        <f t="shared" si="10"/>
        <v>2.9099999999999806</v>
      </c>
      <c r="B107" s="709"/>
      <c r="C107" s="717">
        <f>SUM(M107:O107)</f>
        <v>0</v>
      </c>
      <c r="D107" s="717">
        <f>SUM(Q107:S107)</f>
        <v>0</v>
      </c>
      <c r="E107" s="717"/>
      <c r="F107" s="717"/>
      <c r="G107" s="717">
        <f t="shared" si="8"/>
        <v>0</v>
      </c>
      <c r="H107" s="717"/>
      <c r="I107" s="717">
        <f t="shared" si="12"/>
        <v>0</v>
      </c>
      <c r="J107" s="717">
        <f t="shared" si="12"/>
        <v>0</v>
      </c>
      <c r="K107" s="717">
        <f t="shared" si="12"/>
        <v>0</v>
      </c>
      <c r="L107" s="717"/>
      <c r="M107" s="709"/>
      <c r="N107" s="709"/>
      <c r="O107" s="709"/>
      <c r="P107" s="717"/>
      <c r="Q107" s="709"/>
      <c r="R107" s="709"/>
      <c r="S107" s="709"/>
    </row>
    <row r="108" spans="1:256">
      <c r="A108" s="726"/>
      <c r="B108" s="717"/>
      <c r="C108" s="717"/>
      <c r="D108" s="717"/>
      <c r="E108" s="717"/>
      <c r="F108" s="717"/>
      <c r="G108" s="717"/>
      <c r="H108" s="717"/>
      <c r="I108" s="717"/>
      <c r="J108" s="717"/>
      <c r="K108" s="717"/>
      <c r="L108" s="717"/>
      <c r="M108" s="717"/>
      <c r="N108" s="717"/>
      <c r="O108" s="717"/>
      <c r="P108" s="717"/>
      <c r="Q108" s="717"/>
      <c r="R108" s="717"/>
      <c r="S108" s="717"/>
    </row>
    <row r="109" spans="1:256" ht="13.5" thickBot="1">
      <c r="A109" s="708">
        <v>3</v>
      </c>
      <c r="B109" s="717" t="s">
        <v>693</v>
      </c>
      <c r="C109" s="727">
        <f>SUM(C17:C108)</f>
        <v>0</v>
      </c>
      <c r="D109" s="727">
        <f>SUM(D17:D108)</f>
        <v>0</v>
      </c>
      <c r="E109" s="727">
        <f>SUM(E17:E108)</f>
        <v>0</v>
      </c>
      <c r="F109" s="727">
        <f>SUM(F17:F108)</f>
        <v>0</v>
      </c>
      <c r="G109" s="727">
        <f>SUM(G17:G108)</f>
        <v>0</v>
      </c>
      <c r="H109" s="717"/>
      <c r="I109" s="727">
        <f>SUM(I17:I108)</f>
        <v>0</v>
      </c>
      <c r="J109" s="727">
        <f>SUM(J17:J108)</f>
        <v>0</v>
      </c>
      <c r="K109" s="727">
        <f>SUM(K17:K108)</f>
        <v>0</v>
      </c>
      <c r="L109" s="717"/>
      <c r="M109" s="727">
        <f>SUM(M17:M108)</f>
        <v>0</v>
      </c>
      <c r="N109" s="727">
        <f>SUM(N17:N108)</f>
        <v>0</v>
      </c>
      <c r="O109" s="727">
        <f>SUM(O17:O108)</f>
        <v>0</v>
      </c>
      <c r="P109" s="717"/>
      <c r="Q109" s="727">
        <f>SUM(Q17:Q108)</f>
        <v>0</v>
      </c>
      <c r="R109" s="727">
        <f>SUM(R17:R108)</f>
        <v>0</v>
      </c>
      <c r="S109" s="727">
        <f>SUM(S17:S108)</f>
        <v>0</v>
      </c>
    </row>
    <row r="110" spans="1:256" ht="13.5" thickTop="1">
      <c r="A110" s="708">
        <v>4</v>
      </c>
      <c r="B110" s="711" t="s">
        <v>694</v>
      </c>
      <c r="C110" s="717">
        <f>C77+C78</f>
        <v>0</v>
      </c>
      <c r="D110" s="717">
        <f>D77+D78</f>
        <v>0</v>
      </c>
      <c r="E110" s="717">
        <f>E77+E78</f>
        <v>0</v>
      </c>
      <c r="F110" s="717">
        <f>F77+F78</f>
        <v>0</v>
      </c>
      <c r="G110" s="717">
        <f>G77+G78</f>
        <v>0</v>
      </c>
      <c r="I110" s="717">
        <f>I77+I78</f>
        <v>0</v>
      </c>
      <c r="J110" s="717">
        <f>J77+J78</f>
        <v>0</v>
      </c>
      <c r="K110" s="717">
        <f>K77+K78</f>
        <v>0</v>
      </c>
      <c r="M110" s="717">
        <f>M77+M78</f>
        <v>0</v>
      </c>
      <c r="N110" s="717">
        <f>N77+N78</f>
        <v>0</v>
      </c>
      <c r="O110" s="717">
        <f>O77+O78</f>
        <v>0</v>
      </c>
      <c r="Q110" s="717">
        <f>Q77+Q78</f>
        <v>0</v>
      </c>
      <c r="R110" s="717">
        <f>R77+R78</f>
        <v>0</v>
      </c>
      <c r="S110" s="717">
        <f>S77+S78</f>
        <v>0</v>
      </c>
      <c r="IV110" s="717"/>
    </row>
    <row r="111" spans="1:256">
      <c r="I111" s="717"/>
    </row>
  </sheetData>
  <pageMargins left="0.7" right="0.7" top="0.75" bottom="0.75" header="0.3" footer="0.3"/>
  <pageSetup scale="3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W87"/>
  <sheetViews>
    <sheetView workbookViewId="0">
      <selection activeCell="A5" sqref="A5"/>
    </sheetView>
  </sheetViews>
  <sheetFormatPr defaultColWidth="10" defaultRowHeight="12"/>
  <cols>
    <col min="1" max="1" width="9.42578125" style="968" customWidth="1"/>
    <col min="2" max="2" width="20.85546875" style="969" customWidth="1"/>
    <col min="3" max="3" width="35.5703125" style="968" customWidth="1"/>
    <col min="4" max="4" width="12.85546875" style="968" customWidth="1"/>
    <col min="5" max="5" width="10.42578125" style="968" customWidth="1"/>
    <col min="6" max="6" width="16.42578125" style="968" customWidth="1"/>
    <col min="7" max="7" width="12" style="968" customWidth="1"/>
    <col min="8" max="8" width="14.28515625" style="968" bestFit="1" customWidth="1"/>
    <col min="9" max="9" width="18.85546875" style="968" customWidth="1"/>
    <col min="10" max="10" width="15.5703125" style="968" customWidth="1"/>
    <col min="11" max="11" width="16.140625" style="968" customWidth="1"/>
    <col min="12" max="13" width="15" style="968" customWidth="1"/>
    <col min="14" max="14" width="13.5703125" style="968" customWidth="1"/>
    <col min="15" max="15" width="15" style="968" customWidth="1"/>
    <col min="16" max="17" width="17.5703125" style="968" customWidth="1"/>
    <col min="18" max="18" width="33" style="968" customWidth="1"/>
    <col min="19" max="19" width="15" style="968" customWidth="1"/>
    <col min="20" max="21" width="14.5703125" style="968" bestFit="1" customWidth="1"/>
    <col min="22" max="22" width="10.5703125" style="968" bestFit="1" customWidth="1"/>
    <col min="23" max="256" width="10" style="968"/>
    <col min="257" max="257" width="9.42578125" style="968" customWidth="1"/>
    <col min="258" max="258" width="20.85546875" style="968" customWidth="1"/>
    <col min="259" max="259" width="35.5703125" style="968" customWidth="1"/>
    <col min="260" max="260" width="12.85546875" style="968" customWidth="1"/>
    <col min="261" max="261" width="10.42578125" style="968" customWidth="1"/>
    <col min="262" max="262" width="16.42578125" style="968" customWidth="1"/>
    <col min="263" max="263" width="12" style="968" customWidth="1"/>
    <col min="264" max="264" width="14.28515625" style="968" bestFit="1" customWidth="1"/>
    <col min="265" max="265" width="18.85546875" style="968" customWidth="1"/>
    <col min="266" max="266" width="15.5703125" style="968" customWidth="1"/>
    <col min="267" max="267" width="16.140625" style="968" customWidth="1"/>
    <col min="268" max="269" width="15" style="968" customWidth="1"/>
    <col min="270" max="270" width="13.5703125" style="968" customWidth="1"/>
    <col min="271" max="271" width="15" style="968" customWidth="1"/>
    <col min="272" max="273" width="17.5703125" style="968" customWidth="1"/>
    <col min="274" max="274" width="33" style="968" customWidth="1"/>
    <col min="275" max="275" width="15" style="968" customWidth="1"/>
    <col min="276" max="277" width="14.5703125" style="968" bestFit="1" customWidth="1"/>
    <col min="278" max="278" width="10.5703125" style="968" bestFit="1" customWidth="1"/>
    <col min="279" max="512" width="10" style="968"/>
    <col min="513" max="513" width="9.42578125" style="968" customWidth="1"/>
    <col min="514" max="514" width="20.85546875" style="968" customWidth="1"/>
    <col min="515" max="515" width="35.5703125" style="968" customWidth="1"/>
    <col min="516" max="516" width="12.85546875" style="968" customWidth="1"/>
    <col min="517" max="517" width="10.42578125" style="968" customWidth="1"/>
    <col min="518" max="518" width="16.42578125" style="968" customWidth="1"/>
    <col min="519" max="519" width="12" style="968" customWidth="1"/>
    <col min="520" max="520" width="14.28515625" style="968" bestFit="1" customWidth="1"/>
    <col min="521" max="521" width="18.85546875" style="968" customWidth="1"/>
    <col min="522" max="522" width="15.5703125" style="968" customWidth="1"/>
    <col min="523" max="523" width="16.140625" style="968" customWidth="1"/>
    <col min="524" max="525" width="15" style="968" customWidth="1"/>
    <col min="526" max="526" width="13.5703125" style="968" customWidth="1"/>
    <col min="527" max="527" width="15" style="968" customWidth="1"/>
    <col min="528" max="529" width="17.5703125" style="968" customWidth="1"/>
    <col min="530" max="530" width="33" style="968" customWidth="1"/>
    <col min="531" max="531" width="15" style="968" customWidth="1"/>
    <col min="532" max="533" width="14.5703125" style="968" bestFit="1" customWidth="1"/>
    <col min="534" max="534" width="10.5703125" style="968" bestFit="1" customWidth="1"/>
    <col min="535" max="768" width="10" style="968"/>
    <col min="769" max="769" width="9.42578125" style="968" customWidth="1"/>
    <col min="770" max="770" width="20.85546875" style="968" customWidth="1"/>
    <col min="771" max="771" width="35.5703125" style="968" customWidth="1"/>
    <col min="772" max="772" width="12.85546875" style="968" customWidth="1"/>
    <col min="773" max="773" width="10.42578125" style="968" customWidth="1"/>
    <col min="774" max="774" width="16.42578125" style="968" customWidth="1"/>
    <col min="775" max="775" width="12" style="968" customWidth="1"/>
    <col min="776" max="776" width="14.28515625" style="968" bestFit="1" customWidth="1"/>
    <col min="777" max="777" width="18.85546875" style="968" customWidth="1"/>
    <col min="778" max="778" width="15.5703125" style="968" customWidth="1"/>
    <col min="779" max="779" width="16.140625" style="968" customWidth="1"/>
    <col min="780" max="781" width="15" style="968" customWidth="1"/>
    <col min="782" max="782" width="13.5703125" style="968" customWidth="1"/>
    <col min="783" max="783" width="15" style="968" customWidth="1"/>
    <col min="784" max="785" width="17.5703125" style="968" customWidth="1"/>
    <col min="786" max="786" width="33" style="968" customWidth="1"/>
    <col min="787" max="787" width="15" style="968" customWidth="1"/>
    <col min="788" max="789" width="14.5703125" style="968" bestFit="1" customWidth="1"/>
    <col min="790" max="790" width="10.5703125" style="968" bestFit="1" customWidth="1"/>
    <col min="791" max="1024" width="10" style="968"/>
    <col min="1025" max="1025" width="9.42578125" style="968" customWidth="1"/>
    <col min="1026" max="1026" width="20.85546875" style="968" customWidth="1"/>
    <col min="1027" max="1027" width="35.5703125" style="968" customWidth="1"/>
    <col min="1028" max="1028" width="12.85546875" style="968" customWidth="1"/>
    <col min="1029" max="1029" width="10.42578125" style="968" customWidth="1"/>
    <col min="1030" max="1030" width="16.42578125" style="968" customWidth="1"/>
    <col min="1031" max="1031" width="12" style="968" customWidth="1"/>
    <col min="1032" max="1032" width="14.28515625" style="968" bestFit="1" customWidth="1"/>
    <col min="1033" max="1033" width="18.85546875" style="968" customWidth="1"/>
    <col min="1034" max="1034" width="15.5703125" style="968" customWidth="1"/>
    <col min="1035" max="1035" width="16.140625" style="968" customWidth="1"/>
    <col min="1036" max="1037" width="15" style="968" customWidth="1"/>
    <col min="1038" max="1038" width="13.5703125" style="968" customWidth="1"/>
    <col min="1039" max="1039" width="15" style="968" customWidth="1"/>
    <col min="1040" max="1041" width="17.5703125" style="968" customWidth="1"/>
    <col min="1042" max="1042" width="33" style="968" customWidth="1"/>
    <col min="1043" max="1043" width="15" style="968" customWidth="1"/>
    <col min="1044" max="1045" width="14.5703125" style="968" bestFit="1" customWidth="1"/>
    <col min="1046" max="1046" width="10.5703125" style="968" bestFit="1" customWidth="1"/>
    <col min="1047" max="1280" width="10" style="968"/>
    <col min="1281" max="1281" width="9.42578125" style="968" customWidth="1"/>
    <col min="1282" max="1282" width="20.85546875" style="968" customWidth="1"/>
    <col min="1283" max="1283" width="35.5703125" style="968" customWidth="1"/>
    <col min="1284" max="1284" width="12.85546875" style="968" customWidth="1"/>
    <col min="1285" max="1285" width="10.42578125" style="968" customWidth="1"/>
    <col min="1286" max="1286" width="16.42578125" style="968" customWidth="1"/>
    <col min="1287" max="1287" width="12" style="968" customWidth="1"/>
    <col min="1288" max="1288" width="14.28515625" style="968" bestFit="1" customWidth="1"/>
    <col min="1289" max="1289" width="18.85546875" style="968" customWidth="1"/>
    <col min="1290" max="1290" width="15.5703125" style="968" customWidth="1"/>
    <col min="1291" max="1291" width="16.140625" style="968" customWidth="1"/>
    <col min="1292" max="1293" width="15" style="968" customWidth="1"/>
    <col min="1294" max="1294" width="13.5703125" style="968" customWidth="1"/>
    <col min="1295" max="1295" width="15" style="968" customWidth="1"/>
    <col min="1296" max="1297" width="17.5703125" style="968" customWidth="1"/>
    <col min="1298" max="1298" width="33" style="968" customWidth="1"/>
    <col min="1299" max="1299" width="15" style="968" customWidth="1"/>
    <col min="1300" max="1301" width="14.5703125" style="968" bestFit="1" customWidth="1"/>
    <col min="1302" max="1302" width="10.5703125" style="968" bestFit="1" customWidth="1"/>
    <col min="1303" max="1536" width="10" style="968"/>
    <col min="1537" max="1537" width="9.42578125" style="968" customWidth="1"/>
    <col min="1538" max="1538" width="20.85546875" style="968" customWidth="1"/>
    <col min="1539" max="1539" width="35.5703125" style="968" customWidth="1"/>
    <col min="1540" max="1540" width="12.85546875" style="968" customWidth="1"/>
    <col min="1541" max="1541" width="10.42578125" style="968" customWidth="1"/>
    <col min="1542" max="1542" width="16.42578125" style="968" customWidth="1"/>
    <col min="1543" max="1543" width="12" style="968" customWidth="1"/>
    <col min="1544" max="1544" width="14.28515625" style="968" bestFit="1" customWidth="1"/>
    <col min="1545" max="1545" width="18.85546875" style="968" customWidth="1"/>
    <col min="1546" max="1546" width="15.5703125" style="968" customWidth="1"/>
    <col min="1547" max="1547" width="16.140625" style="968" customWidth="1"/>
    <col min="1548" max="1549" width="15" style="968" customWidth="1"/>
    <col min="1550" max="1550" width="13.5703125" style="968" customWidth="1"/>
    <col min="1551" max="1551" width="15" style="968" customWidth="1"/>
    <col min="1552" max="1553" width="17.5703125" style="968" customWidth="1"/>
    <col min="1554" max="1554" width="33" style="968" customWidth="1"/>
    <col min="1555" max="1555" width="15" style="968" customWidth="1"/>
    <col min="1556" max="1557" width="14.5703125" style="968" bestFit="1" customWidth="1"/>
    <col min="1558" max="1558" width="10.5703125" style="968" bestFit="1" customWidth="1"/>
    <col min="1559" max="1792" width="10" style="968"/>
    <col min="1793" max="1793" width="9.42578125" style="968" customWidth="1"/>
    <col min="1794" max="1794" width="20.85546875" style="968" customWidth="1"/>
    <col min="1795" max="1795" width="35.5703125" style="968" customWidth="1"/>
    <col min="1796" max="1796" width="12.85546875" style="968" customWidth="1"/>
    <col min="1797" max="1797" width="10.42578125" style="968" customWidth="1"/>
    <col min="1798" max="1798" width="16.42578125" style="968" customWidth="1"/>
    <col min="1799" max="1799" width="12" style="968" customWidth="1"/>
    <col min="1800" max="1800" width="14.28515625" style="968" bestFit="1" customWidth="1"/>
    <col min="1801" max="1801" width="18.85546875" style="968" customWidth="1"/>
    <col min="1802" max="1802" width="15.5703125" style="968" customWidth="1"/>
    <col min="1803" max="1803" width="16.140625" style="968" customWidth="1"/>
    <col min="1804" max="1805" width="15" style="968" customWidth="1"/>
    <col min="1806" max="1806" width="13.5703125" style="968" customWidth="1"/>
    <col min="1807" max="1807" width="15" style="968" customWidth="1"/>
    <col min="1808" max="1809" width="17.5703125" style="968" customWidth="1"/>
    <col min="1810" max="1810" width="33" style="968" customWidth="1"/>
    <col min="1811" max="1811" width="15" style="968" customWidth="1"/>
    <col min="1812" max="1813" width="14.5703125" style="968" bestFit="1" customWidth="1"/>
    <col min="1814" max="1814" width="10.5703125" style="968" bestFit="1" customWidth="1"/>
    <col min="1815" max="2048" width="10" style="968"/>
    <col min="2049" max="2049" width="9.42578125" style="968" customWidth="1"/>
    <col min="2050" max="2050" width="20.85546875" style="968" customWidth="1"/>
    <col min="2051" max="2051" width="35.5703125" style="968" customWidth="1"/>
    <col min="2052" max="2052" width="12.85546875" style="968" customWidth="1"/>
    <col min="2053" max="2053" width="10.42578125" style="968" customWidth="1"/>
    <col min="2054" max="2054" width="16.42578125" style="968" customWidth="1"/>
    <col min="2055" max="2055" width="12" style="968" customWidth="1"/>
    <col min="2056" max="2056" width="14.28515625" style="968" bestFit="1" customWidth="1"/>
    <col min="2057" max="2057" width="18.85546875" style="968" customWidth="1"/>
    <col min="2058" max="2058" width="15.5703125" style="968" customWidth="1"/>
    <col min="2059" max="2059" width="16.140625" style="968" customWidth="1"/>
    <col min="2060" max="2061" width="15" style="968" customWidth="1"/>
    <col min="2062" max="2062" width="13.5703125" style="968" customWidth="1"/>
    <col min="2063" max="2063" width="15" style="968" customWidth="1"/>
    <col min="2064" max="2065" width="17.5703125" style="968" customWidth="1"/>
    <col min="2066" max="2066" width="33" style="968" customWidth="1"/>
    <col min="2067" max="2067" width="15" style="968" customWidth="1"/>
    <col min="2068" max="2069" width="14.5703125" style="968" bestFit="1" customWidth="1"/>
    <col min="2070" max="2070" width="10.5703125" style="968" bestFit="1" customWidth="1"/>
    <col min="2071" max="2304" width="10" style="968"/>
    <col min="2305" max="2305" width="9.42578125" style="968" customWidth="1"/>
    <col min="2306" max="2306" width="20.85546875" style="968" customWidth="1"/>
    <col min="2307" max="2307" width="35.5703125" style="968" customWidth="1"/>
    <col min="2308" max="2308" width="12.85546875" style="968" customWidth="1"/>
    <col min="2309" max="2309" width="10.42578125" style="968" customWidth="1"/>
    <col min="2310" max="2310" width="16.42578125" style="968" customWidth="1"/>
    <col min="2311" max="2311" width="12" style="968" customWidth="1"/>
    <col min="2312" max="2312" width="14.28515625" style="968" bestFit="1" customWidth="1"/>
    <col min="2313" max="2313" width="18.85546875" style="968" customWidth="1"/>
    <col min="2314" max="2314" width="15.5703125" style="968" customWidth="1"/>
    <col min="2315" max="2315" width="16.140625" style="968" customWidth="1"/>
    <col min="2316" max="2317" width="15" style="968" customWidth="1"/>
    <col min="2318" max="2318" width="13.5703125" style="968" customWidth="1"/>
    <col min="2319" max="2319" width="15" style="968" customWidth="1"/>
    <col min="2320" max="2321" width="17.5703125" style="968" customWidth="1"/>
    <col min="2322" max="2322" width="33" style="968" customWidth="1"/>
    <col min="2323" max="2323" width="15" style="968" customWidth="1"/>
    <col min="2324" max="2325" width="14.5703125" style="968" bestFit="1" customWidth="1"/>
    <col min="2326" max="2326" width="10.5703125" style="968" bestFit="1" customWidth="1"/>
    <col min="2327" max="2560" width="10" style="968"/>
    <col min="2561" max="2561" width="9.42578125" style="968" customWidth="1"/>
    <col min="2562" max="2562" width="20.85546875" style="968" customWidth="1"/>
    <col min="2563" max="2563" width="35.5703125" style="968" customWidth="1"/>
    <col min="2564" max="2564" width="12.85546875" style="968" customWidth="1"/>
    <col min="2565" max="2565" width="10.42578125" style="968" customWidth="1"/>
    <col min="2566" max="2566" width="16.42578125" style="968" customWidth="1"/>
    <col min="2567" max="2567" width="12" style="968" customWidth="1"/>
    <col min="2568" max="2568" width="14.28515625" style="968" bestFit="1" customWidth="1"/>
    <col min="2569" max="2569" width="18.85546875" style="968" customWidth="1"/>
    <col min="2570" max="2570" width="15.5703125" style="968" customWidth="1"/>
    <col min="2571" max="2571" width="16.140625" style="968" customWidth="1"/>
    <col min="2572" max="2573" width="15" style="968" customWidth="1"/>
    <col min="2574" max="2574" width="13.5703125" style="968" customWidth="1"/>
    <col min="2575" max="2575" width="15" style="968" customWidth="1"/>
    <col min="2576" max="2577" width="17.5703125" style="968" customWidth="1"/>
    <col min="2578" max="2578" width="33" style="968" customWidth="1"/>
    <col min="2579" max="2579" width="15" style="968" customWidth="1"/>
    <col min="2580" max="2581" width="14.5703125" style="968" bestFit="1" customWidth="1"/>
    <col min="2582" max="2582" width="10.5703125" style="968" bestFit="1" customWidth="1"/>
    <col min="2583" max="2816" width="10" style="968"/>
    <col min="2817" max="2817" width="9.42578125" style="968" customWidth="1"/>
    <col min="2818" max="2818" width="20.85546875" style="968" customWidth="1"/>
    <col min="2819" max="2819" width="35.5703125" style="968" customWidth="1"/>
    <col min="2820" max="2820" width="12.85546875" style="968" customWidth="1"/>
    <col min="2821" max="2821" width="10.42578125" style="968" customWidth="1"/>
    <col min="2822" max="2822" width="16.42578125" style="968" customWidth="1"/>
    <col min="2823" max="2823" width="12" style="968" customWidth="1"/>
    <col min="2824" max="2824" width="14.28515625" style="968" bestFit="1" customWidth="1"/>
    <col min="2825" max="2825" width="18.85546875" style="968" customWidth="1"/>
    <col min="2826" max="2826" width="15.5703125" style="968" customWidth="1"/>
    <col min="2827" max="2827" width="16.140625" style="968" customWidth="1"/>
    <col min="2828" max="2829" width="15" style="968" customWidth="1"/>
    <col min="2830" max="2830" width="13.5703125" style="968" customWidth="1"/>
    <col min="2831" max="2831" width="15" style="968" customWidth="1"/>
    <col min="2832" max="2833" width="17.5703125" style="968" customWidth="1"/>
    <col min="2834" max="2834" width="33" style="968" customWidth="1"/>
    <col min="2835" max="2835" width="15" style="968" customWidth="1"/>
    <col min="2836" max="2837" width="14.5703125" style="968" bestFit="1" customWidth="1"/>
    <col min="2838" max="2838" width="10.5703125" style="968" bestFit="1" customWidth="1"/>
    <col min="2839" max="3072" width="10" style="968"/>
    <col min="3073" max="3073" width="9.42578125" style="968" customWidth="1"/>
    <col min="3074" max="3074" width="20.85546875" style="968" customWidth="1"/>
    <col min="3075" max="3075" width="35.5703125" style="968" customWidth="1"/>
    <col min="3076" max="3076" width="12.85546875" style="968" customWidth="1"/>
    <col min="3077" max="3077" width="10.42578125" style="968" customWidth="1"/>
    <col min="3078" max="3078" width="16.42578125" style="968" customWidth="1"/>
    <col min="3079" max="3079" width="12" style="968" customWidth="1"/>
    <col min="3080" max="3080" width="14.28515625" style="968" bestFit="1" customWidth="1"/>
    <col min="3081" max="3081" width="18.85546875" style="968" customWidth="1"/>
    <col min="3082" max="3082" width="15.5703125" style="968" customWidth="1"/>
    <col min="3083" max="3083" width="16.140625" style="968" customWidth="1"/>
    <col min="3084" max="3085" width="15" style="968" customWidth="1"/>
    <col min="3086" max="3086" width="13.5703125" style="968" customWidth="1"/>
    <col min="3087" max="3087" width="15" style="968" customWidth="1"/>
    <col min="3088" max="3089" width="17.5703125" style="968" customWidth="1"/>
    <col min="3090" max="3090" width="33" style="968" customWidth="1"/>
    <col min="3091" max="3091" width="15" style="968" customWidth="1"/>
    <col min="3092" max="3093" width="14.5703125" style="968" bestFit="1" customWidth="1"/>
    <col min="3094" max="3094" width="10.5703125" style="968" bestFit="1" customWidth="1"/>
    <col min="3095" max="3328" width="10" style="968"/>
    <col min="3329" max="3329" width="9.42578125" style="968" customWidth="1"/>
    <col min="3330" max="3330" width="20.85546875" style="968" customWidth="1"/>
    <col min="3331" max="3331" width="35.5703125" style="968" customWidth="1"/>
    <col min="3332" max="3332" width="12.85546875" style="968" customWidth="1"/>
    <col min="3333" max="3333" width="10.42578125" style="968" customWidth="1"/>
    <col min="3334" max="3334" width="16.42578125" style="968" customWidth="1"/>
    <col min="3335" max="3335" width="12" style="968" customWidth="1"/>
    <col min="3336" max="3336" width="14.28515625" style="968" bestFit="1" customWidth="1"/>
    <col min="3337" max="3337" width="18.85546875" style="968" customWidth="1"/>
    <col min="3338" max="3338" width="15.5703125" style="968" customWidth="1"/>
    <col min="3339" max="3339" width="16.140625" style="968" customWidth="1"/>
    <col min="3340" max="3341" width="15" style="968" customWidth="1"/>
    <col min="3342" max="3342" width="13.5703125" style="968" customWidth="1"/>
    <col min="3343" max="3343" width="15" style="968" customWidth="1"/>
    <col min="3344" max="3345" width="17.5703125" style="968" customWidth="1"/>
    <col min="3346" max="3346" width="33" style="968" customWidth="1"/>
    <col min="3347" max="3347" width="15" style="968" customWidth="1"/>
    <col min="3348" max="3349" width="14.5703125" style="968" bestFit="1" customWidth="1"/>
    <col min="3350" max="3350" width="10.5703125" style="968" bestFit="1" customWidth="1"/>
    <col min="3351" max="3584" width="10" style="968"/>
    <col min="3585" max="3585" width="9.42578125" style="968" customWidth="1"/>
    <col min="3586" max="3586" width="20.85546875" style="968" customWidth="1"/>
    <col min="3587" max="3587" width="35.5703125" style="968" customWidth="1"/>
    <col min="3588" max="3588" width="12.85546875" style="968" customWidth="1"/>
    <col min="3589" max="3589" width="10.42578125" style="968" customWidth="1"/>
    <col min="3590" max="3590" width="16.42578125" style="968" customWidth="1"/>
    <col min="3591" max="3591" width="12" style="968" customWidth="1"/>
    <col min="3592" max="3592" width="14.28515625" style="968" bestFit="1" customWidth="1"/>
    <col min="3593" max="3593" width="18.85546875" style="968" customWidth="1"/>
    <col min="3594" max="3594" width="15.5703125" style="968" customWidth="1"/>
    <col min="3595" max="3595" width="16.140625" style="968" customWidth="1"/>
    <col min="3596" max="3597" width="15" style="968" customWidth="1"/>
    <col min="3598" max="3598" width="13.5703125" style="968" customWidth="1"/>
    <col min="3599" max="3599" width="15" style="968" customWidth="1"/>
    <col min="3600" max="3601" width="17.5703125" style="968" customWidth="1"/>
    <col min="3602" max="3602" width="33" style="968" customWidth="1"/>
    <col min="3603" max="3603" width="15" style="968" customWidth="1"/>
    <col min="3604" max="3605" width="14.5703125" style="968" bestFit="1" customWidth="1"/>
    <col min="3606" max="3606" width="10.5703125" style="968" bestFit="1" customWidth="1"/>
    <col min="3607" max="3840" width="10" style="968"/>
    <col min="3841" max="3841" width="9.42578125" style="968" customWidth="1"/>
    <col min="3842" max="3842" width="20.85546875" style="968" customWidth="1"/>
    <col min="3843" max="3843" width="35.5703125" style="968" customWidth="1"/>
    <col min="3844" max="3844" width="12.85546875" style="968" customWidth="1"/>
    <col min="3845" max="3845" width="10.42578125" style="968" customWidth="1"/>
    <col min="3846" max="3846" width="16.42578125" style="968" customWidth="1"/>
    <col min="3847" max="3847" width="12" style="968" customWidth="1"/>
    <col min="3848" max="3848" width="14.28515625" style="968" bestFit="1" customWidth="1"/>
    <col min="3849" max="3849" width="18.85546875" style="968" customWidth="1"/>
    <col min="3850" max="3850" width="15.5703125" style="968" customWidth="1"/>
    <col min="3851" max="3851" width="16.140625" style="968" customWidth="1"/>
    <col min="3852" max="3853" width="15" style="968" customWidth="1"/>
    <col min="3854" max="3854" width="13.5703125" style="968" customWidth="1"/>
    <col min="3855" max="3855" width="15" style="968" customWidth="1"/>
    <col min="3856" max="3857" width="17.5703125" style="968" customWidth="1"/>
    <col min="3858" max="3858" width="33" style="968" customWidth="1"/>
    <col min="3859" max="3859" width="15" style="968" customWidth="1"/>
    <col min="3860" max="3861" width="14.5703125" style="968" bestFit="1" customWidth="1"/>
    <col min="3862" max="3862" width="10.5703125" style="968" bestFit="1" customWidth="1"/>
    <col min="3863" max="4096" width="10" style="968"/>
    <col min="4097" max="4097" width="9.42578125" style="968" customWidth="1"/>
    <col min="4098" max="4098" width="20.85546875" style="968" customWidth="1"/>
    <col min="4099" max="4099" width="35.5703125" style="968" customWidth="1"/>
    <col min="4100" max="4100" width="12.85546875" style="968" customWidth="1"/>
    <col min="4101" max="4101" width="10.42578125" style="968" customWidth="1"/>
    <col min="4102" max="4102" width="16.42578125" style="968" customWidth="1"/>
    <col min="4103" max="4103" width="12" style="968" customWidth="1"/>
    <col min="4104" max="4104" width="14.28515625" style="968" bestFit="1" customWidth="1"/>
    <col min="4105" max="4105" width="18.85546875" style="968" customWidth="1"/>
    <col min="4106" max="4106" width="15.5703125" style="968" customWidth="1"/>
    <col min="4107" max="4107" width="16.140625" style="968" customWidth="1"/>
    <col min="4108" max="4109" width="15" style="968" customWidth="1"/>
    <col min="4110" max="4110" width="13.5703125" style="968" customWidth="1"/>
    <col min="4111" max="4111" width="15" style="968" customWidth="1"/>
    <col min="4112" max="4113" width="17.5703125" style="968" customWidth="1"/>
    <col min="4114" max="4114" width="33" style="968" customWidth="1"/>
    <col min="4115" max="4115" width="15" style="968" customWidth="1"/>
    <col min="4116" max="4117" width="14.5703125" style="968" bestFit="1" customWidth="1"/>
    <col min="4118" max="4118" width="10.5703125" style="968" bestFit="1" customWidth="1"/>
    <col min="4119" max="4352" width="10" style="968"/>
    <col min="4353" max="4353" width="9.42578125" style="968" customWidth="1"/>
    <col min="4354" max="4354" width="20.85546875" style="968" customWidth="1"/>
    <col min="4355" max="4355" width="35.5703125" style="968" customWidth="1"/>
    <col min="4356" max="4356" width="12.85546875" style="968" customWidth="1"/>
    <col min="4357" max="4357" width="10.42578125" style="968" customWidth="1"/>
    <col min="4358" max="4358" width="16.42578125" style="968" customWidth="1"/>
    <col min="4359" max="4359" width="12" style="968" customWidth="1"/>
    <col min="4360" max="4360" width="14.28515625" style="968" bestFit="1" customWidth="1"/>
    <col min="4361" max="4361" width="18.85546875" style="968" customWidth="1"/>
    <col min="4362" max="4362" width="15.5703125" style="968" customWidth="1"/>
    <col min="4363" max="4363" width="16.140625" style="968" customWidth="1"/>
    <col min="4364" max="4365" width="15" style="968" customWidth="1"/>
    <col min="4366" max="4366" width="13.5703125" style="968" customWidth="1"/>
    <col min="4367" max="4367" width="15" style="968" customWidth="1"/>
    <col min="4368" max="4369" width="17.5703125" style="968" customWidth="1"/>
    <col min="4370" max="4370" width="33" style="968" customWidth="1"/>
    <col min="4371" max="4371" width="15" style="968" customWidth="1"/>
    <col min="4372" max="4373" width="14.5703125" style="968" bestFit="1" customWidth="1"/>
    <col min="4374" max="4374" width="10.5703125" style="968" bestFit="1" customWidth="1"/>
    <col min="4375" max="4608" width="10" style="968"/>
    <col min="4609" max="4609" width="9.42578125" style="968" customWidth="1"/>
    <col min="4610" max="4610" width="20.85546875" style="968" customWidth="1"/>
    <col min="4611" max="4611" width="35.5703125" style="968" customWidth="1"/>
    <col min="4612" max="4612" width="12.85546875" style="968" customWidth="1"/>
    <col min="4613" max="4613" width="10.42578125" style="968" customWidth="1"/>
    <col min="4614" max="4614" width="16.42578125" style="968" customWidth="1"/>
    <col min="4615" max="4615" width="12" style="968" customWidth="1"/>
    <col min="4616" max="4616" width="14.28515625" style="968" bestFit="1" customWidth="1"/>
    <col min="4617" max="4617" width="18.85546875" style="968" customWidth="1"/>
    <col min="4618" max="4618" width="15.5703125" style="968" customWidth="1"/>
    <col min="4619" max="4619" width="16.140625" style="968" customWidth="1"/>
    <col min="4620" max="4621" width="15" style="968" customWidth="1"/>
    <col min="4622" max="4622" width="13.5703125" style="968" customWidth="1"/>
    <col min="4623" max="4623" width="15" style="968" customWidth="1"/>
    <col min="4624" max="4625" width="17.5703125" style="968" customWidth="1"/>
    <col min="4626" max="4626" width="33" style="968" customWidth="1"/>
    <col min="4627" max="4627" width="15" style="968" customWidth="1"/>
    <col min="4628" max="4629" width="14.5703125" style="968" bestFit="1" customWidth="1"/>
    <col min="4630" max="4630" width="10.5703125" style="968" bestFit="1" customWidth="1"/>
    <col min="4631" max="4864" width="10" style="968"/>
    <col min="4865" max="4865" width="9.42578125" style="968" customWidth="1"/>
    <col min="4866" max="4866" width="20.85546875" style="968" customWidth="1"/>
    <col min="4867" max="4867" width="35.5703125" style="968" customWidth="1"/>
    <col min="4868" max="4868" width="12.85546875" style="968" customWidth="1"/>
    <col min="4869" max="4869" width="10.42578125" style="968" customWidth="1"/>
    <col min="4870" max="4870" width="16.42578125" style="968" customWidth="1"/>
    <col min="4871" max="4871" width="12" style="968" customWidth="1"/>
    <col min="4872" max="4872" width="14.28515625" style="968" bestFit="1" customWidth="1"/>
    <col min="4873" max="4873" width="18.85546875" style="968" customWidth="1"/>
    <col min="4874" max="4874" width="15.5703125" style="968" customWidth="1"/>
    <col min="4875" max="4875" width="16.140625" style="968" customWidth="1"/>
    <col min="4876" max="4877" width="15" style="968" customWidth="1"/>
    <col min="4878" max="4878" width="13.5703125" style="968" customWidth="1"/>
    <col min="4879" max="4879" width="15" style="968" customWidth="1"/>
    <col min="4880" max="4881" width="17.5703125" style="968" customWidth="1"/>
    <col min="4882" max="4882" width="33" style="968" customWidth="1"/>
    <col min="4883" max="4883" width="15" style="968" customWidth="1"/>
    <col min="4884" max="4885" width="14.5703125" style="968" bestFit="1" customWidth="1"/>
    <col min="4886" max="4886" width="10.5703125" style="968" bestFit="1" customWidth="1"/>
    <col min="4887" max="5120" width="10" style="968"/>
    <col min="5121" max="5121" width="9.42578125" style="968" customWidth="1"/>
    <col min="5122" max="5122" width="20.85546875" style="968" customWidth="1"/>
    <col min="5123" max="5123" width="35.5703125" style="968" customWidth="1"/>
    <col min="5124" max="5124" width="12.85546875" style="968" customWidth="1"/>
    <col min="5125" max="5125" width="10.42578125" style="968" customWidth="1"/>
    <col min="5126" max="5126" width="16.42578125" style="968" customWidth="1"/>
    <col min="5127" max="5127" width="12" style="968" customWidth="1"/>
    <col min="5128" max="5128" width="14.28515625" style="968" bestFit="1" customWidth="1"/>
    <col min="5129" max="5129" width="18.85546875" style="968" customWidth="1"/>
    <col min="5130" max="5130" width="15.5703125" style="968" customWidth="1"/>
    <col min="5131" max="5131" width="16.140625" style="968" customWidth="1"/>
    <col min="5132" max="5133" width="15" style="968" customWidth="1"/>
    <col min="5134" max="5134" width="13.5703125" style="968" customWidth="1"/>
    <col min="5135" max="5135" width="15" style="968" customWidth="1"/>
    <col min="5136" max="5137" width="17.5703125" style="968" customWidth="1"/>
    <col min="5138" max="5138" width="33" style="968" customWidth="1"/>
    <col min="5139" max="5139" width="15" style="968" customWidth="1"/>
    <col min="5140" max="5141" width="14.5703125" style="968" bestFit="1" customWidth="1"/>
    <col min="5142" max="5142" width="10.5703125" style="968" bestFit="1" customWidth="1"/>
    <col min="5143" max="5376" width="10" style="968"/>
    <col min="5377" max="5377" width="9.42578125" style="968" customWidth="1"/>
    <col min="5378" max="5378" width="20.85546875" style="968" customWidth="1"/>
    <col min="5379" max="5379" width="35.5703125" style="968" customWidth="1"/>
    <col min="5380" max="5380" width="12.85546875" style="968" customWidth="1"/>
    <col min="5381" max="5381" width="10.42578125" style="968" customWidth="1"/>
    <col min="5382" max="5382" width="16.42578125" style="968" customWidth="1"/>
    <col min="5383" max="5383" width="12" style="968" customWidth="1"/>
    <col min="5384" max="5384" width="14.28515625" style="968" bestFit="1" customWidth="1"/>
    <col min="5385" max="5385" width="18.85546875" style="968" customWidth="1"/>
    <col min="5386" max="5386" width="15.5703125" style="968" customWidth="1"/>
    <col min="5387" max="5387" width="16.140625" style="968" customWidth="1"/>
    <col min="5388" max="5389" width="15" style="968" customWidth="1"/>
    <col min="5390" max="5390" width="13.5703125" style="968" customWidth="1"/>
    <col min="5391" max="5391" width="15" style="968" customWidth="1"/>
    <col min="5392" max="5393" width="17.5703125" style="968" customWidth="1"/>
    <col min="5394" max="5394" width="33" style="968" customWidth="1"/>
    <col min="5395" max="5395" width="15" style="968" customWidth="1"/>
    <col min="5396" max="5397" width="14.5703125" style="968" bestFit="1" customWidth="1"/>
    <col min="5398" max="5398" width="10.5703125" style="968" bestFit="1" customWidth="1"/>
    <col min="5399" max="5632" width="10" style="968"/>
    <col min="5633" max="5633" width="9.42578125" style="968" customWidth="1"/>
    <col min="5634" max="5634" width="20.85546875" style="968" customWidth="1"/>
    <col min="5635" max="5635" width="35.5703125" style="968" customWidth="1"/>
    <col min="5636" max="5636" width="12.85546875" style="968" customWidth="1"/>
    <col min="5637" max="5637" width="10.42578125" style="968" customWidth="1"/>
    <col min="5638" max="5638" width="16.42578125" style="968" customWidth="1"/>
    <col min="5639" max="5639" width="12" style="968" customWidth="1"/>
    <col min="5640" max="5640" width="14.28515625" style="968" bestFit="1" customWidth="1"/>
    <col min="5641" max="5641" width="18.85546875" style="968" customWidth="1"/>
    <col min="5642" max="5642" width="15.5703125" style="968" customWidth="1"/>
    <col min="5643" max="5643" width="16.140625" style="968" customWidth="1"/>
    <col min="5644" max="5645" width="15" style="968" customWidth="1"/>
    <col min="5646" max="5646" width="13.5703125" style="968" customWidth="1"/>
    <col min="5647" max="5647" width="15" style="968" customWidth="1"/>
    <col min="5648" max="5649" width="17.5703125" style="968" customWidth="1"/>
    <col min="5650" max="5650" width="33" style="968" customWidth="1"/>
    <col min="5651" max="5651" width="15" style="968" customWidth="1"/>
    <col min="5652" max="5653" width="14.5703125" style="968" bestFit="1" customWidth="1"/>
    <col min="5654" max="5654" width="10.5703125" style="968" bestFit="1" customWidth="1"/>
    <col min="5655" max="5888" width="10" style="968"/>
    <col min="5889" max="5889" width="9.42578125" style="968" customWidth="1"/>
    <col min="5890" max="5890" width="20.85546875" style="968" customWidth="1"/>
    <col min="5891" max="5891" width="35.5703125" style="968" customWidth="1"/>
    <col min="5892" max="5892" width="12.85546875" style="968" customWidth="1"/>
    <col min="5893" max="5893" width="10.42578125" style="968" customWidth="1"/>
    <col min="5894" max="5894" width="16.42578125" style="968" customWidth="1"/>
    <col min="5895" max="5895" width="12" style="968" customWidth="1"/>
    <col min="5896" max="5896" width="14.28515625" style="968" bestFit="1" customWidth="1"/>
    <col min="5897" max="5897" width="18.85546875" style="968" customWidth="1"/>
    <col min="5898" max="5898" width="15.5703125" style="968" customWidth="1"/>
    <col min="5899" max="5899" width="16.140625" style="968" customWidth="1"/>
    <col min="5900" max="5901" width="15" style="968" customWidth="1"/>
    <col min="5902" max="5902" width="13.5703125" style="968" customWidth="1"/>
    <col min="5903" max="5903" width="15" style="968" customWidth="1"/>
    <col min="5904" max="5905" width="17.5703125" style="968" customWidth="1"/>
    <col min="5906" max="5906" width="33" style="968" customWidth="1"/>
    <col min="5907" max="5907" width="15" style="968" customWidth="1"/>
    <col min="5908" max="5909" width="14.5703125" style="968" bestFit="1" customWidth="1"/>
    <col min="5910" max="5910" width="10.5703125" style="968" bestFit="1" customWidth="1"/>
    <col min="5911" max="6144" width="10" style="968"/>
    <col min="6145" max="6145" width="9.42578125" style="968" customWidth="1"/>
    <col min="6146" max="6146" width="20.85546875" style="968" customWidth="1"/>
    <col min="6147" max="6147" width="35.5703125" style="968" customWidth="1"/>
    <col min="6148" max="6148" width="12.85546875" style="968" customWidth="1"/>
    <col min="6149" max="6149" width="10.42578125" style="968" customWidth="1"/>
    <col min="6150" max="6150" width="16.42578125" style="968" customWidth="1"/>
    <col min="6151" max="6151" width="12" style="968" customWidth="1"/>
    <col min="6152" max="6152" width="14.28515625" style="968" bestFit="1" customWidth="1"/>
    <col min="6153" max="6153" width="18.85546875" style="968" customWidth="1"/>
    <col min="6154" max="6154" width="15.5703125" style="968" customWidth="1"/>
    <col min="6155" max="6155" width="16.140625" style="968" customWidth="1"/>
    <col min="6156" max="6157" width="15" style="968" customWidth="1"/>
    <col min="6158" max="6158" width="13.5703125" style="968" customWidth="1"/>
    <col min="6159" max="6159" width="15" style="968" customWidth="1"/>
    <col min="6160" max="6161" width="17.5703125" style="968" customWidth="1"/>
    <col min="6162" max="6162" width="33" style="968" customWidth="1"/>
    <col min="6163" max="6163" width="15" style="968" customWidth="1"/>
    <col min="6164" max="6165" width="14.5703125" style="968" bestFit="1" customWidth="1"/>
    <col min="6166" max="6166" width="10.5703125" style="968" bestFit="1" customWidth="1"/>
    <col min="6167" max="6400" width="10" style="968"/>
    <col min="6401" max="6401" width="9.42578125" style="968" customWidth="1"/>
    <col min="6402" max="6402" width="20.85546875" style="968" customWidth="1"/>
    <col min="6403" max="6403" width="35.5703125" style="968" customWidth="1"/>
    <col min="6404" max="6404" width="12.85546875" style="968" customWidth="1"/>
    <col min="6405" max="6405" width="10.42578125" style="968" customWidth="1"/>
    <col min="6406" max="6406" width="16.42578125" style="968" customWidth="1"/>
    <col min="6407" max="6407" width="12" style="968" customWidth="1"/>
    <col min="6408" max="6408" width="14.28515625" style="968" bestFit="1" customWidth="1"/>
    <col min="6409" max="6409" width="18.85546875" style="968" customWidth="1"/>
    <col min="6410" max="6410" width="15.5703125" style="968" customWidth="1"/>
    <col min="6411" max="6411" width="16.140625" style="968" customWidth="1"/>
    <col min="6412" max="6413" width="15" style="968" customWidth="1"/>
    <col min="6414" max="6414" width="13.5703125" style="968" customWidth="1"/>
    <col min="6415" max="6415" width="15" style="968" customWidth="1"/>
    <col min="6416" max="6417" width="17.5703125" style="968" customWidth="1"/>
    <col min="6418" max="6418" width="33" style="968" customWidth="1"/>
    <col min="6419" max="6419" width="15" style="968" customWidth="1"/>
    <col min="6420" max="6421" width="14.5703125" style="968" bestFit="1" customWidth="1"/>
    <col min="6422" max="6422" width="10.5703125" style="968" bestFit="1" customWidth="1"/>
    <col min="6423" max="6656" width="10" style="968"/>
    <col min="6657" max="6657" width="9.42578125" style="968" customWidth="1"/>
    <col min="6658" max="6658" width="20.85546875" style="968" customWidth="1"/>
    <col min="6659" max="6659" width="35.5703125" style="968" customWidth="1"/>
    <col min="6660" max="6660" width="12.85546875" style="968" customWidth="1"/>
    <col min="6661" max="6661" width="10.42578125" style="968" customWidth="1"/>
    <col min="6662" max="6662" width="16.42578125" style="968" customWidth="1"/>
    <col min="6663" max="6663" width="12" style="968" customWidth="1"/>
    <col min="6664" max="6664" width="14.28515625" style="968" bestFit="1" customWidth="1"/>
    <col min="6665" max="6665" width="18.85546875" style="968" customWidth="1"/>
    <col min="6666" max="6666" width="15.5703125" style="968" customWidth="1"/>
    <col min="6667" max="6667" width="16.140625" style="968" customWidth="1"/>
    <col min="6668" max="6669" width="15" style="968" customWidth="1"/>
    <col min="6670" max="6670" width="13.5703125" style="968" customWidth="1"/>
    <col min="6671" max="6671" width="15" style="968" customWidth="1"/>
    <col min="6672" max="6673" width="17.5703125" style="968" customWidth="1"/>
    <col min="6674" max="6674" width="33" style="968" customWidth="1"/>
    <col min="6675" max="6675" width="15" style="968" customWidth="1"/>
    <col min="6676" max="6677" width="14.5703125" style="968" bestFit="1" customWidth="1"/>
    <col min="6678" max="6678" width="10.5703125" style="968" bestFit="1" customWidth="1"/>
    <col min="6679" max="6912" width="10" style="968"/>
    <col min="6913" max="6913" width="9.42578125" style="968" customWidth="1"/>
    <col min="6914" max="6914" width="20.85546875" style="968" customWidth="1"/>
    <col min="6915" max="6915" width="35.5703125" style="968" customWidth="1"/>
    <col min="6916" max="6916" width="12.85546875" style="968" customWidth="1"/>
    <col min="6917" max="6917" width="10.42578125" style="968" customWidth="1"/>
    <col min="6918" max="6918" width="16.42578125" style="968" customWidth="1"/>
    <col min="6919" max="6919" width="12" style="968" customWidth="1"/>
    <col min="6920" max="6920" width="14.28515625" style="968" bestFit="1" customWidth="1"/>
    <col min="6921" max="6921" width="18.85546875" style="968" customWidth="1"/>
    <col min="6922" max="6922" width="15.5703125" style="968" customWidth="1"/>
    <col min="6923" max="6923" width="16.140625" style="968" customWidth="1"/>
    <col min="6924" max="6925" width="15" style="968" customWidth="1"/>
    <col min="6926" max="6926" width="13.5703125" style="968" customWidth="1"/>
    <col min="6927" max="6927" width="15" style="968" customWidth="1"/>
    <col min="6928" max="6929" width="17.5703125" style="968" customWidth="1"/>
    <col min="6930" max="6930" width="33" style="968" customWidth="1"/>
    <col min="6931" max="6931" width="15" style="968" customWidth="1"/>
    <col min="6932" max="6933" width="14.5703125" style="968" bestFit="1" customWidth="1"/>
    <col min="6934" max="6934" width="10.5703125" style="968" bestFit="1" customWidth="1"/>
    <col min="6935" max="7168" width="10" style="968"/>
    <col min="7169" max="7169" width="9.42578125" style="968" customWidth="1"/>
    <col min="7170" max="7170" width="20.85546875" style="968" customWidth="1"/>
    <col min="7171" max="7171" width="35.5703125" style="968" customWidth="1"/>
    <col min="7172" max="7172" width="12.85546875" style="968" customWidth="1"/>
    <col min="7173" max="7173" width="10.42578125" style="968" customWidth="1"/>
    <col min="7174" max="7174" width="16.42578125" style="968" customWidth="1"/>
    <col min="7175" max="7175" width="12" style="968" customWidth="1"/>
    <col min="7176" max="7176" width="14.28515625" style="968" bestFit="1" customWidth="1"/>
    <col min="7177" max="7177" width="18.85546875" style="968" customWidth="1"/>
    <col min="7178" max="7178" width="15.5703125" style="968" customWidth="1"/>
    <col min="7179" max="7179" width="16.140625" style="968" customWidth="1"/>
    <col min="7180" max="7181" width="15" style="968" customWidth="1"/>
    <col min="7182" max="7182" width="13.5703125" style="968" customWidth="1"/>
    <col min="7183" max="7183" width="15" style="968" customWidth="1"/>
    <col min="7184" max="7185" width="17.5703125" style="968" customWidth="1"/>
    <col min="7186" max="7186" width="33" style="968" customWidth="1"/>
    <col min="7187" max="7187" width="15" style="968" customWidth="1"/>
    <col min="7188" max="7189" width="14.5703125" style="968" bestFit="1" customWidth="1"/>
    <col min="7190" max="7190" width="10.5703125" style="968" bestFit="1" customWidth="1"/>
    <col min="7191" max="7424" width="10" style="968"/>
    <col min="7425" max="7425" width="9.42578125" style="968" customWidth="1"/>
    <col min="7426" max="7426" width="20.85546875" style="968" customWidth="1"/>
    <col min="7427" max="7427" width="35.5703125" style="968" customWidth="1"/>
    <col min="7428" max="7428" width="12.85546875" style="968" customWidth="1"/>
    <col min="7429" max="7429" width="10.42578125" style="968" customWidth="1"/>
    <col min="7430" max="7430" width="16.42578125" style="968" customWidth="1"/>
    <col min="7431" max="7431" width="12" style="968" customWidth="1"/>
    <col min="7432" max="7432" width="14.28515625" style="968" bestFit="1" customWidth="1"/>
    <col min="7433" max="7433" width="18.85546875" style="968" customWidth="1"/>
    <col min="7434" max="7434" width="15.5703125" style="968" customWidth="1"/>
    <col min="7435" max="7435" width="16.140625" style="968" customWidth="1"/>
    <col min="7436" max="7437" width="15" style="968" customWidth="1"/>
    <col min="7438" max="7438" width="13.5703125" style="968" customWidth="1"/>
    <col min="7439" max="7439" width="15" style="968" customWidth="1"/>
    <col min="7440" max="7441" width="17.5703125" style="968" customWidth="1"/>
    <col min="7442" max="7442" width="33" style="968" customWidth="1"/>
    <col min="7443" max="7443" width="15" style="968" customWidth="1"/>
    <col min="7444" max="7445" width="14.5703125" style="968" bestFit="1" customWidth="1"/>
    <col min="7446" max="7446" width="10.5703125" style="968" bestFit="1" customWidth="1"/>
    <col min="7447" max="7680" width="10" style="968"/>
    <col min="7681" max="7681" width="9.42578125" style="968" customWidth="1"/>
    <col min="7682" max="7682" width="20.85546875" style="968" customWidth="1"/>
    <col min="7683" max="7683" width="35.5703125" style="968" customWidth="1"/>
    <col min="7684" max="7684" width="12.85546875" style="968" customWidth="1"/>
    <col min="7685" max="7685" width="10.42578125" style="968" customWidth="1"/>
    <col min="7686" max="7686" width="16.42578125" style="968" customWidth="1"/>
    <col min="7687" max="7687" width="12" style="968" customWidth="1"/>
    <col min="7688" max="7688" width="14.28515625" style="968" bestFit="1" customWidth="1"/>
    <col min="7689" max="7689" width="18.85546875" style="968" customWidth="1"/>
    <col min="7690" max="7690" width="15.5703125" style="968" customWidth="1"/>
    <col min="7691" max="7691" width="16.140625" style="968" customWidth="1"/>
    <col min="7692" max="7693" width="15" style="968" customWidth="1"/>
    <col min="7694" max="7694" width="13.5703125" style="968" customWidth="1"/>
    <col min="7695" max="7695" width="15" style="968" customWidth="1"/>
    <col min="7696" max="7697" width="17.5703125" style="968" customWidth="1"/>
    <col min="7698" max="7698" width="33" style="968" customWidth="1"/>
    <col min="7699" max="7699" width="15" style="968" customWidth="1"/>
    <col min="7700" max="7701" width="14.5703125" style="968" bestFit="1" customWidth="1"/>
    <col min="7702" max="7702" width="10.5703125" style="968" bestFit="1" customWidth="1"/>
    <col min="7703" max="7936" width="10" style="968"/>
    <col min="7937" max="7937" width="9.42578125" style="968" customWidth="1"/>
    <col min="7938" max="7938" width="20.85546875" style="968" customWidth="1"/>
    <col min="7939" max="7939" width="35.5703125" style="968" customWidth="1"/>
    <col min="7940" max="7940" width="12.85546875" style="968" customWidth="1"/>
    <col min="7941" max="7941" width="10.42578125" style="968" customWidth="1"/>
    <col min="7942" max="7942" width="16.42578125" style="968" customWidth="1"/>
    <col min="7943" max="7943" width="12" style="968" customWidth="1"/>
    <col min="7944" max="7944" width="14.28515625" style="968" bestFit="1" customWidth="1"/>
    <col min="7945" max="7945" width="18.85546875" style="968" customWidth="1"/>
    <col min="7946" max="7946" width="15.5703125" style="968" customWidth="1"/>
    <col min="7947" max="7947" width="16.140625" style="968" customWidth="1"/>
    <col min="7948" max="7949" width="15" style="968" customWidth="1"/>
    <col min="7950" max="7950" width="13.5703125" style="968" customWidth="1"/>
    <col min="7951" max="7951" width="15" style="968" customWidth="1"/>
    <col min="7952" max="7953" width="17.5703125" style="968" customWidth="1"/>
    <col min="7954" max="7954" width="33" style="968" customWidth="1"/>
    <col min="7955" max="7955" width="15" style="968" customWidth="1"/>
    <col min="7956" max="7957" width="14.5703125" style="968" bestFit="1" customWidth="1"/>
    <col min="7958" max="7958" width="10.5703125" style="968" bestFit="1" customWidth="1"/>
    <col min="7959" max="8192" width="10" style="968"/>
    <col min="8193" max="8193" width="9.42578125" style="968" customWidth="1"/>
    <col min="8194" max="8194" width="20.85546875" style="968" customWidth="1"/>
    <col min="8195" max="8195" width="35.5703125" style="968" customWidth="1"/>
    <col min="8196" max="8196" width="12.85546875" style="968" customWidth="1"/>
    <col min="8197" max="8197" width="10.42578125" style="968" customWidth="1"/>
    <col min="8198" max="8198" width="16.42578125" style="968" customWidth="1"/>
    <col min="8199" max="8199" width="12" style="968" customWidth="1"/>
    <col min="8200" max="8200" width="14.28515625" style="968" bestFit="1" customWidth="1"/>
    <col min="8201" max="8201" width="18.85546875" style="968" customWidth="1"/>
    <col min="8202" max="8202" width="15.5703125" style="968" customWidth="1"/>
    <col min="8203" max="8203" width="16.140625" style="968" customWidth="1"/>
    <col min="8204" max="8205" width="15" style="968" customWidth="1"/>
    <col min="8206" max="8206" width="13.5703125" style="968" customWidth="1"/>
    <col min="8207" max="8207" width="15" style="968" customWidth="1"/>
    <col min="8208" max="8209" width="17.5703125" style="968" customWidth="1"/>
    <col min="8210" max="8210" width="33" style="968" customWidth="1"/>
    <col min="8211" max="8211" width="15" style="968" customWidth="1"/>
    <col min="8212" max="8213" width="14.5703125" style="968" bestFit="1" customWidth="1"/>
    <col min="8214" max="8214" width="10.5703125" style="968" bestFit="1" customWidth="1"/>
    <col min="8215" max="8448" width="10" style="968"/>
    <col min="8449" max="8449" width="9.42578125" style="968" customWidth="1"/>
    <col min="8450" max="8450" width="20.85546875" style="968" customWidth="1"/>
    <col min="8451" max="8451" width="35.5703125" style="968" customWidth="1"/>
    <col min="8452" max="8452" width="12.85546875" style="968" customWidth="1"/>
    <col min="8453" max="8453" width="10.42578125" style="968" customWidth="1"/>
    <col min="8454" max="8454" width="16.42578125" style="968" customWidth="1"/>
    <col min="8455" max="8455" width="12" style="968" customWidth="1"/>
    <col min="8456" max="8456" width="14.28515625" style="968" bestFit="1" customWidth="1"/>
    <col min="8457" max="8457" width="18.85546875" style="968" customWidth="1"/>
    <col min="8458" max="8458" width="15.5703125" style="968" customWidth="1"/>
    <col min="8459" max="8459" width="16.140625" style="968" customWidth="1"/>
    <col min="8460" max="8461" width="15" style="968" customWidth="1"/>
    <col min="8462" max="8462" width="13.5703125" style="968" customWidth="1"/>
    <col min="8463" max="8463" width="15" style="968" customWidth="1"/>
    <col min="8464" max="8465" width="17.5703125" style="968" customWidth="1"/>
    <col min="8466" max="8466" width="33" style="968" customWidth="1"/>
    <col min="8467" max="8467" width="15" style="968" customWidth="1"/>
    <col min="8468" max="8469" width="14.5703125" style="968" bestFit="1" customWidth="1"/>
    <col min="8470" max="8470" width="10.5703125" style="968" bestFit="1" customWidth="1"/>
    <col min="8471" max="8704" width="10" style="968"/>
    <col min="8705" max="8705" width="9.42578125" style="968" customWidth="1"/>
    <col min="8706" max="8706" width="20.85546875" style="968" customWidth="1"/>
    <col min="8707" max="8707" width="35.5703125" style="968" customWidth="1"/>
    <col min="8708" max="8708" width="12.85546875" style="968" customWidth="1"/>
    <col min="8709" max="8709" width="10.42578125" style="968" customWidth="1"/>
    <col min="8710" max="8710" width="16.42578125" style="968" customWidth="1"/>
    <col min="8711" max="8711" width="12" style="968" customWidth="1"/>
    <col min="8712" max="8712" width="14.28515625" style="968" bestFit="1" customWidth="1"/>
    <col min="8713" max="8713" width="18.85546875" style="968" customWidth="1"/>
    <col min="8714" max="8714" width="15.5703125" style="968" customWidth="1"/>
    <col min="8715" max="8715" width="16.140625" style="968" customWidth="1"/>
    <col min="8716" max="8717" width="15" style="968" customWidth="1"/>
    <col min="8718" max="8718" width="13.5703125" style="968" customWidth="1"/>
    <col min="8719" max="8719" width="15" style="968" customWidth="1"/>
    <col min="8720" max="8721" width="17.5703125" style="968" customWidth="1"/>
    <col min="8722" max="8722" width="33" style="968" customWidth="1"/>
    <col min="8723" max="8723" width="15" style="968" customWidth="1"/>
    <col min="8724" max="8725" width="14.5703125" style="968" bestFit="1" customWidth="1"/>
    <col min="8726" max="8726" width="10.5703125" style="968" bestFit="1" customWidth="1"/>
    <col min="8727" max="8960" width="10" style="968"/>
    <col min="8961" max="8961" width="9.42578125" style="968" customWidth="1"/>
    <col min="8962" max="8962" width="20.85546875" style="968" customWidth="1"/>
    <col min="8963" max="8963" width="35.5703125" style="968" customWidth="1"/>
    <col min="8964" max="8964" width="12.85546875" style="968" customWidth="1"/>
    <col min="8965" max="8965" width="10.42578125" style="968" customWidth="1"/>
    <col min="8966" max="8966" width="16.42578125" style="968" customWidth="1"/>
    <col min="8967" max="8967" width="12" style="968" customWidth="1"/>
    <col min="8968" max="8968" width="14.28515625" style="968" bestFit="1" customWidth="1"/>
    <col min="8969" max="8969" width="18.85546875" style="968" customWidth="1"/>
    <col min="8970" max="8970" width="15.5703125" style="968" customWidth="1"/>
    <col min="8971" max="8971" width="16.140625" style="968" customWidth="1"/>
    <col min="8972" max="8973" width="15" style="968" customWidth="1"/>
    <col min="8974" max="8974" width="13.5703125" style="968" customWidth="1"/>
    <col min="8975" max="8975" width="15" style="968" customWidth="1"/>
    <col min="8976" max="8977" width="17.5703125" style="968" customWidth="1"/>
    <col min="8978" max="8978" width="33" style="968" customWidth="1"/>
    <col min="8979" max="8979" width="15" style="968" customWidth="1"/>
    <col min="8980" max="8981" width="14.5703125" style="968" bestFit="1" customWidth="1"/>
    <col min="8982" max="8982" width="10.5703125" style="968" bestFit="1" customWidth="1"/>
    <col min="8983" max="9216" width="10" style="968"/>
    <col min="9217" max="9217" width="9.42578125" style="968" customWidth="1"/>
    <col min="9218" max="9218" width="20.85546875" style="968" customWidth="1"/>
    <col min="9219" max="9219" width="35.5703125" style="968" customWidth="1"/>
    <col min="9220" max="9220" width="12.85546875" style="968" customWidth="1"/>
    <col min="9221" max="9221" width="10.42578125" style="968" customWidth="1"/>
    <col min="9222" max="9222" width="16.42578125" style="968" customWidth="1"/>
    <col min="9223" max="9223" width="12" style="968" customWidth="1"/>
    <col min="9224" max="9224" width="14.28515625" style="968" bestFit="1" customWidth="1"/>
    <col min="9225" max="9225" width="18.85546875" style="968" customWidth="1"/>
    <col min="9226" max="9226" width="15.5703125" style="968" customWidth="1"/>
    <col min="9227" max="9227" width="16.140625" style="968" customWidth="1"/>
    <col min="9228" max="9229" width="15" style="968" customWidth="1"/>
    <col min="9230" max="9230" width="13.5703125" style="968" customWidth="1"/>
    <col min="9231" max="9231" width="15" style="968" customWidth="1"/>
    <col min="9232" max="9233" width="17.5703125" style="968" customWidth="1"/>
    <col min="9234" max="9234" width="33" style="968" customWidth="1"/>
    <col min="9235" max="9235" width="15" style="968" customWidth="1"/>
    <col min="9236" max="9237" width="14.5703125" style="968" bestFit="1" customWidth="1"/>
    <col min="9238" max="9238" width="10.5703125" style="968" bestFit="1" customWidth="1"/>
    <col min="9239" max="9472" width="10" style="968"/>
    <col min="9473" max="9473" width="9.42578125" style="968" customWidth="1"/>
    <col min="9474" max="9474" width="20.85546875" style="968" customWidth="1"/>
    <col min="9475" max="9475" width="35.5703125" style="968" customWidth="1"/>
    <col min="9476" max="9476" width="12.85546875" style="968" customWidth="1"/>
    <col min="9477" max="9477" width="10.42578125" style="968" customWidth="1"/>
    <col min="9478" max="9478" width="16.42578125" style="968" customWidth="1"/>
    <col min="9479" max="9479" width="12" style="968" customWidth="1"/>
    <col min="9480" max="9480" width="14.28515625" style="968" bestFit="1" customWidth="1"/>
    <col min="9481" max="9481" width="18.85546875" style="968" customWidth="1"/>
    <col min="9482" max="9482" width="15.5703125" style="968" customWidth="1"/>
    <col min="9483" max="9483" width="16.140625" style="968" customWidth="1"/>
    <col min="9484" max="9485" width="15" style="968" customWidth="1"/>
    <col min="9486" max="9486" width="13.5703125" style="968" customWidth="1"/>
    <col min="9487" max="9487" width="15" style="968" customWidth="1"/>
    <col min="9488" max="9489" width="17.5703125" style="968" customWidth="1"/>
    <col min="9490" max="9490" width="33" style="968" customWidth="1"/>
    <col min="9491" max="9491" width="15" style="968" customWidth="1"/>
    <col min="9492" max="9493" width="14.5703125" style="968" bestFit="1" customWidth="1"/>
    <col min="9494" max="9494" width="10.5703125" style="968" bestFit="1" customWidth="1"/>
    <col min="9495" max="9728" width="10" style="968"/>
    <col min="9729" max="9729" width="9.42578125" style="968" customWidth="1"/>
    <col min="9730" max="9730" width="20.85546875" style="968" customWidth="1"/>
    <col min="9731" max="9731" width="35.5703125" style="968" customWidth="1"/>
    <col min="9732" max="9732" width="12.85546875" style="968" customWidth="1"/>
    <col min="9733" max="9733" width="10.42578125" style="968" customWidth="1"/>
    <col min="9734" max="9734" width="16.42578125" style="968" customWidth="1"/>
    <col min="9735" max="9735" width="12" style="968" customWidth="1"/>
    <col min="9736" max="9736" width="14.28515625" style="968" bestFit="1" customWidth="1"/>
    <col min="9737" max="9737" width="18.85546875" style="968" customWidth="1"/>
    <col min="9738" max="9738" width="15.5703125" style="968" customWidth="1"/>
    <col min="9739" max="9739" width="16.140625" style="968" customWidth="1"/>
    <col min="9740" max="9741" width="15" style="968" customWidth="1"/>
    <col min="9742" max="9742" width="13.5703125" style="968" customWidth="1"/>
    <col min="9743" max="9743" width="15" style="968" customWidth="1"/>
    <col min="9744" max="9745" width="17.5703125" style="968" customWidth="1"/>
    <col min="9746" max="9746" width="33" style="968" customWidth="1"/>
    <col min="9747" max="9747" width="15" style="968" customWidth="1"/>
    <col min="9748" max="9749" width="14.5703125" style="968" bestFit="1" customWidth="1"/>
    <col min="9750" max="9750" width="10.5703125" style="968" bestFit="1" customWidth="1"/>
    <col min="9751" max="9984" width="10" style="968"/>
    <col min="9985" max="9985" width="9.42578125" style="968" customWidth="1"/>
    <col min="9986" max="9986" width="20.85546875" style="968" customWidth="1"/>
    <col min="9987" max="9987" width="35.5703125" style="968" customWidth="1"/>
    <col min="9988" max="9988" width="12.85546875" style="968" customWidth="1"/>
    <col min="9989" max="9989" width="10.42578125" style="968" customWidth="1"/>
    <col min="9990" max="9990" width="16.42578125" style="968" customWidth="1"/>
    <col min="9991" max="9991" width="12" style="968" customWidth="1"/>
    <col min="9992" max="9992" width="14.28515625" style="968" bestFit="1" customWidth="1"/>
    <col min="9993" max="9993" width="18.85546875" style="968" customWidth="1"/>
    <col min="9994" max="9994" width="15.5703125" style="968" customWidth="1"/>
    <col min="9995" max="9995" width="16.140625" style="968" customWidth="1"/>
    <col min="9996" max="9997" width="15" style="968" customWidth="1"/>
    <col min="9998" max="9998" width="13.5703125" style="968" customWidth="1"/>
    <col min="9999" max="9999" width="15" style="968" customWidth="1"/>
    <col min="10000" max="10001" width="17.5703125" style="968" customWidth="1"/>
    <col min="10002" max="10002" width="33" style="968" customWidth="1"/>
    <col min="10003" max="10003" width="15" style="968" customWidth="1"/>
    <col min="10004" max="10005" width="14.5703125" style="968" bestFit="1" customWidth="1"/>
    <col min="10006" max="10006" width="10.5703125" style="968" bestFit="1" customWidth="1"/>
    <col min="10007" max="10240" width="10" style="968"/>
    <col min="10241" max="10241" width="9.42578125" style="968" customWidth="1"/>
    <col min="10242" max="10242" width="20.85546875" style="968" customWidth="1"/>
    <col min="10243" max="10243" width="35.5703125" style="968" customWidth="1"/>
    <col min="10244" max="10244" width="12.85546875" style="968" customWidth="1"/>
    <col min="10245" max="10245" width="10.42578125" style="968" customWidth="1"/>
    <col min="10246" max="10246" width="16.42578125" style="968" customWidth="1"/>
    <col min="10247" max="10247" width="12" style="968" customWidth="1"/>
    <col min="10248" max="10248" width="14.28515625" style="968" bestFit="1" customWidth="1"/>
    <col min="10249" max="10249" width="18.85546875" style="968" customWidth="1"/>
    <col min="10250" max="10250" width="15.5703125" style="968" customWidth="1"/>
    <col min="10251" max="10251" width="16.140625" style="968" customWidth="1"/>
    <col min="10252" max="10253" width="15" style="968" customWidth="1"/>
    <col min="10254" max="10254" width="13.5703125" style="968" customWidth="1"/>
    <col min="10255" max="10255" width="15" style="968" customWidth="1"/>
    <col min="10256" max="10257" width="17.5703125" style="968" customWidth="1"/>
    <col min="10258" max="10258" width="33" style="968" customWidth="1"/>
    <col min="10259" max="10259" width="15" style="968" customWidth="1"/>
    <col min="10260" max="10261" width="14.5703125" style="968" bestFit="1" customWidth="1"/>
    <col min="10262" max="10262" width="10.5703125" style="968" bestFit="1" customWidth="1"/>
    <col min="10263" max="10496" width="10" style="968"/>
    <col min="10497" max="10497" width="9.42578125" style="968" customWidth="1"/>
    <col min="10498" max="10498" width="20.85546875" style="968" customWidth="1"/>
    <col min="10499" max="10499" width="35.5703125" style="968" customWidth="1"/>
    <col min="10500" max="10500" width="12.85546875" style="968" customWidth="1"/>
    <col min="10501" max="10501" width="10.42578125" style="968" customWidth="1"/>
    <col min="10502" max="10502" width="16.42578125" style="968" customWidth="1"/>
    <col min="10503" max="10503" width="12" style="968" customWidth="1"/>
    <col min="10504" max="10504" width="14.28515625" style="968" bestFit="1" customWidth="1"/>
    <col min="10505" max="10505" width="18.85546875" style="968" customWidth="1"/>
    <col min="10506" max="10506" width="15.5703125" style="968" customWidth="1"/>
    <col min="10507" max="10507" width="16.140625" style="968" customWidth="1"/>
    <col min="10508" max="10509" width="15" style="968" customWidth="1"/>
    <col min="10510" max="10510" width="13.5703125" style="968" customWidth="1"/>
    <col min="10511" max="10511" width="15" style="968" customWidth="1"/>
    <col min="10512" max="10513" width="17.5703125" style="968" customWidth="1"/>
    <col min="10514" max="10514" width="33" style="968" customWidth="1"/>
    <col min="10515" max="10515" width="15" style="968" customWidth="1"/>
    <col min="10516" max="10517" width="14.5703125" style="968" bestFit="1" customWidth="1"/>
    <col min="10518" max="10518" width="10.5703125" style="968" bestFit="1" customWidth="1"/>
    <col min="10519" max="10752" width="10" style="968"/>
    <col min="10753" max="10753" width="9.42578125" style="968" customWidth="1"/>
    <col min="10754" max="10754" width="20.85546875" style="968" customWidth="1"/>
    <col min="10755" max="10755" width="35.5703125" style="968" customWidth="1"/>
    <col min="10756" max="10756" width="12.85546875" style="968" customWidth="1"/>
    <col min="10757" max="10757" width="10.42578125" style="968" customWidth="1"/>
    <col min="10758" max="10758" width="16.42578125" style="968" customWidth="1"/>
    <col min="10759" max="10759" width="12" style="968" customWidth="1"/>
    <col min="10760" max="10760" width="14.28515625" style="968" bestFit="1" customWidth="1"/>
    <col min="10761" max="10761" width="18.85546875" style="968" customWidth="1"/>
    <col min="10762" max="10762" width="15.5703125" style="968" customWidth="1"/>
    <col min="10763" max="10763" width="16.140625" style="968" customWidth="1"/>
    <col min="10764" max="10765" width="15" style="968" customWidth="1"/>
    <col min="10766" max="10766" width="13.5703125" style="968" customWidth="1"/>
    <col min="10767" max="10767" width="15" style="968" customWidth="1"/>
    <col min="10768" max="10769" width="17.5703125" style="968" customWidth="1"/>
    <col min="10770" max="10770" width="33" style="968" customWidth="1"/>
    <col min="10771" max="10771" width="15" style="968" customWidth="1"/>
    <col min="10772" max="10773" width="14.5703125" style="968" bestFit="1" customWidth="1"/>
    <col min="10774" max="10774" width="10.5703125" style="968" bestFit="1" customWidth="1"/>
    <col min="10775" max="11008" width="10" style="968"/>
    <col min="11009" max="11009" width="9.42578125" style="968" customWidth="1"/>
    <col min="11010" max="11010" width="20.85546875" style="968" customWidth="1"/>
    <col min="11011" max="11011" width="35.5703125" style="968" customWidth="1"/>
    <col min="11012" max="11012" width="12.85546875" style="968" customWidth="1"/>
    <col min="11013" max="11013" width="10.42578125" style="968" customWidth="1"/>
    <col min="11014" max="11014" width="16.42578125" style="968" customWidth="1"/>
    <col min="11015" max="11015" width="12" style="968" customWidth="1"/>
    <col min="11016" max="11016" width="14.28515625" style="968" bestFit="1" customWidth="1"/>
    <col min="11017" max="11017" width="18.85546875" style="968" customWidth="1"/>
    <col min="11018" max="11018" width="15.5703125" style="968" customWidth="1"/>
    <col min="11019" max="11019" width="16.140625" style="968" customWidth="1"/>
    <col min="11020" max="11021" width="15" style="968" customWidth="1"/>
    <col min="11022" max="11022" width="13.5703125" style="968" customWidth="1"/>
    <col min="11023" max="11023" width="15" style="968" customWidth="1"/>
    <col min="11024" max="11025" width="17.5703125" style="968" customWidth="1"/>
    <col min="11026" max="11026" width="33" style="968" customWidth="1"/>
    <col min="11027" max="11027" width="15" style="968" customWidth="1"/>
    <col min="11028" max="11029" width="14.5703125" style="968" bestFit="1" customWidth="1"/>
    <col min="11030" max="11030" width="10.5703125" style="968" bestFit="1" customWidth="1"/>
    <col min="11031" max="11264" width="10" style="968"/>
    <col min="11265" max="11265" width="9.42578125" style="968" customWidth="1"/>
    <col min="11266" max="11266" width="20.85546875" style="968" customWidth="1"/>
    <col min="11267" max="11267" width="35.5703125" style="968" customWidth="1"/>
    <col min="11268" max="11268" width="12.85546875" style="968" customWidth="1"/>
    <col min="11269" max="11269" width="10.42578125" style="968" customWidth="1"/>
    <col min="11270" max="11270" width="16.42578125" style="968" customWidth="1"/>
    <col min="11271" max="11271" width="12" style="968" customWidth="1"/>
    <col min="11272" max="11272" width="14.28515625" style="968" bestFit="1" customWidth="1"/>
    <col min="11273" max="11273" width="18.85546875" style="968" customWidth="1"/>
    <col min="11274" max="11274" width="15.5703125" style="968" customWidth="1"/>
    <col min="11275" max="11275" width="16.140625" style="968" customWidth="1"/>
    <col min="11276" max="11277" width="15" style="968" customWidth="1"/>
    <col min="11278" max="11278" width="13.5703125" style="968" customWidth="1"/>
    <col min="11279" max="11279" width="15" style="968" customWidth="1"/>
    <col min="11280" max="11281" width="17.5703125" style="968" customWidth="1"/>
    <col min="11282" max="11282" width="33" style="968" customWidth="1"/>
    <col min="11283" max="11283" width="15" style="968" customWidth="1"/>
    <col min="11284" max="11285" width="14.5703125" style="968" bestFit="1" customWidth="1"/>
    <col min="11286" max="11286" width="10.5703125" style="968" bestFit="1" customWidth="1"/>
    <col min="11287" max="11520" width="10" style="968"/>
    <col min="11521" max="11521" width="9.42578125" style="968" customWidth="1"/>
    <col min="11522" max="11522" width="20.85546875" style="968" customWidth="1"/>
    <col min="11523" max="11523" width="35.5703125" style="968" customWidth="1"/>
    <col min="11524" max="11524" width="12.85546875" style="968" customWidth="1"/>
    <col min="11525" max="11525" width="10.42578125" style="968" customWidth="1"/>
    <col min="11526" max="11526" width="16.42578125" style="968" customWidth="1"/>
    <col min="11527" max="11527" width="12" style="968" customWidth="1"/>
    <col min="11528" max="11528" width="14.28515625" style="968" bestFit="1" customWidth="1"/>
    <col min="11529" max="11529" width="18.85546875" style="968" customWidth="1"/>
    <col min="11530" max="11530" width="15.5703125" style="968" customWidth="1"/>
    <col min="11531" max="11531" width="16.140625" style="968" customWidth="1"/>
    <col min="11532" max="11533" width="15" style="968" customWidth="1"/>
    <col min="11534" max="11534" width="13.5703125" style="968" customWidth="1"/>
    <col min="11535" max="11535" width="15" style="968" customWidth="1"/>
    <col min="11536" max="11537" width="17.5703125" style="968" customWidth="1"/>
    <col min="11538" max="11538" width="33" style="968" customWidth="1"/>
    <col min="11539" max="11539" width="15" style="968" customWidth="1"/>
    <col min="11540" max="11541" width="14.5703125" style="968" bestFit="1" customWidth="1"/>
    <col min="11542" max="11542" width="10.5703125" style="968" bestFit="1" customWidth="1"/>
    <col min="11543" max="11776" width="10" style="968"/>
    <col min="11777" max="11777" width="9.42578125" style="968" customWidth="1"/>
    <col min="11778" max="11778" width="20.85546875" style="968" customWidth="1"/>
    <col min="11779" max="11779" width="35.5703125" style="968" customWidth="1"/>
    <col min="11780" max="11780" width="12.85546875" style="968" customWidth="1"/>
    <col min="11781" max="11781" width="10.42578125" style="968" customWidth="1"/>
    <col min="11782" max="11782" width="16.42578125" style="968" customWidth="1"/>
    <col min="11783" max="11783" width="12" style="968" customWidth="1"/>
    <col min="11784" max="11784" width="14.28515625" style="968" bestFit="1" customWidth="1"/>
    <col min="11785" max="11785" width="18.85546875" style="968" customWidth="1"/>
    <col min="11786" max="11786" width="15.5703125" style="968" customWidth="1"/>
    <col min="11787" max="11787" width="16.140625" style="968" customWidth="1"/>
    <col min="11788" max="11789" width="15" style="968" customWidth="1"/>
    <col min="11790" max="11790" width="13.5703125" style="968" customWidth="1"/>
    <col min="11791" max="11791" width="15" style="968" customWidth="1"/>
    <col min="11792" max="11793" width="17.5703125" style="968" customWidth="1"/>
    <col min="11794" max="11794" width="33" style="968" customWidth="1"/>
    <col min="11795" max="11795" width="15" style="968" customWidth="1"/>
    <col min="11796" max="11797" width="14.5703125" style="968" bestFit="1" customWidth="1"/>
    <col min="11798" max="11798" width="10.5703125" style="968" bestFit="1" customWidth="1"/>
    <col min="11799" max="12032" width="10" style="968"/>
    <col min="12033" max="12033" width="9.42578125" style="968" customWidth="1"/>
    <col min="12034" max="12034" width="20.85546875" style="968" customWidth="1"/>
    <col min="12035" max="12035" width="35.5703125" style="968" customWidth="1"/>
    <col min="12036" max="12036" width="12.85546875" style="968" customWidth="1"/>
    <col min="12037" max="12037" width="10.42578125" style="968" customWidth="1"/>
    <col min="12038" max="12038" width="16.42578125" style="968" customWidth="1"/>
    <col min="12039" max="12039" width="12" style="968" customWidth="1"/>
    <col min="12040" max="12040" width="14.28515625" style="968" bestFit="1" customWidth="1"/>
    <col min="12041" max="12041" width="18.85546875" style="968" customWidth="1"/>
    <col min="12042" max="12042" width="15.5703125" style="968" customWidth="1"/>
    <col min="12043" max="12043" width="16.140625" style="968" customWidth="1"/>
    <col min="12044" max="12045" width="15" style="968" customWidth="1"/>
    <col min="12046" max="12046" width="13.5703125" style="968" customWidth="1"/>
    <col min="12047" max="12047" width="15" style="968" customWidth="1"/>
    <col min="12048" max="12049" width="17.5703125" style="968" customWidth="1"/>
    <col min="12050" max="12050" width="33" style="968" customWidth="1"/>
    <col min="12051" max="12051" width="15" style="968" customWidth="1"/>
    <col min="12052" max="12053" width="14.5703125" style="968" bestFit="1" customWidth="1"/>
    <col min="12054" max="12054" width="10.5703125" style="968" bestFit="1" customWidth="1"/>
    <col min="12055" max="12288" width="10" style="968"/>
    <col min="12289" max="12289" width="9.42578125" style="968" customWidth="1"/>
    <col min="12290" max="12290" width="20.85546875" style="968" customWidth="1"/>
    <col min="12291" max="12291" width="35.5703125" style="968" customWidth="1"/>
    <col min="12292" max="12292" width="12.85546875" style="968" customWidth="1"/>
    <col min="12293" max="12293" width="10.42578125" style="968" customWidth="1"/>
    <col min="12294" max="12294" width="16.42578125" style="968" customWidth="1"/>
    <col min="12295" max="12295" width="12" style="968" customWidth="1"/>
    <col min="12296" max="12296" width="14.28515625" style="968" bestFit="1" customWidth="1"/>
    <col min="12297" max="12297" width="18.85546875" style="968" customWidth="1"/>
    <col min="12298" max="12298" width="15.5703125" style="968" customWidth="1"/>
    <col min="12299" max="12299" width="16.140625" style="968" customWidth="1"/>
    <col min="12300" max="12301" width="15" style="968" customWidth="1"/>
    <col min="12302" max="12302" width="13.5703125" style="968" customWidth="1"/>
    <col min="12303" max="12303" width="15" style="968" customWidth="1"/>
    <col min="12304" max="12305" width="17.5703125" style="968" customWidth="1"/>
    <col min="12306" max="12306" width="33" style="968" customWidth="1"/>
    <col min="12307" max="12307" width="15" style="968" customWidth="1"/>
    <col min="12308" max="12309" width="14.5703125" style="968" bestFit="1" customWidth="1"/>
    <col min="12310" max="12310" width="10.5703125" style="968" bestFit="1" customWidth="1"/>
    <col min="12311" max="12544" width="10" style="968"/>
    <col min="12545" max="12545" width="9.42578125" style="968" customWidth="1"/>
    <col min="12546" max="12546" width="20.85546875" style="968" customWidth="1"/>
    <col min="12547" max="12547" width="35.5703125" style="968" customWidth="1"/>
    <col min="12548" max="12548" width="12.85546875" style="968" customWidth="1"/>
    <col min="12549" max="12549" width="10.42578125" style="968" customWidth="1"/>
    <col min="12550" max="12550" width="16.42578125" style="968" customWidth="1"/>
    <col min="12551" max="12551" width="12" style="968" customWidth="1"/>
    <col min="12552" max="12552" width="14.28515625" style="968" bestFit="1" customWidth="1"/>
    <col min="12553" max="12553" width="18.85546875" style="968" customWidth="1"/>
    <col min="12554" max="12554" width="15.5703125" style="968" customWidth="1"/>
    <col min="12555" max="12555" width="16.140625" style="968" customWidth="1"/>
    <col min="12556" max="12557" width="15" style="968" customWidth="1"/>
    <col min="12558" max="12558" width="13.5703125" style="968" customWidth="1"/>
    <col min="12559" max="12559" width="15" style="968" customWidth="1"/>
    <col min="12560" max="12561" width="17.5703125" style="968" customWidth="1"/>
    <col min="12562" max="12562" width="33" style="968" customWidth="1"/>
    <col min="12563" max="12563" width="15" style="968" customWidth="1"/>
    <col min="12564" max="12565" width="14.5703125" style="968" bestFit="1" customWidth="1"/>
    <col min="12566" max="12566" width="10.5703125" style="968" bestFit="1" customWidth="1"/>
    <col min="12567" max="12800" width="10" style="968"/>
    <col min="12801" max="12801" width="9.42578125" style="968" customWidth="1"/>
    <col min="12802" max="12802" width="20.85546875" style="968" customWidth="1"/>
    <col min="12803" max="12803" width="35.5703125" style="968" customWidth="1"/>
    <col min="12804" max="12804" width="12.85546875" style="968" customWidth="1"/>
    <col min="12805" max="12805" width="10.42578125" style="968" customWidth="1"/>
    <col min="12806" max="12806" width="16.42578125" style="968" customWidth="1"/>
    <col min="12807" max="12807" width="12" style="968" customWidth="1"/>
    <col min="12808" max="12808" width="14.28515625" style="968" bestFit="1" customWidth="1"/>
    <col min="12809" max="12809" width="18.85546875" style="968" customWidth="1"/>
    <col min="12810" max="12810" width="15.5703125" style="968" customWidth="1"/>
    <col min="12811" max="12811" width="16.140625" style="968" customWidth="1"/>
    <col min="12812" max="12813" width="15" style="968" customWidth="1"/>
    <col min="12814" max="12814" width="13.5703125" style="968" customWidth="1"/>
    <col min="12815" max="12815" width="15" style="968" customWidth="1"/>
    <col min="12816" max="12817" width="17.5703125" style="968" customWidth="1"/>
    <col min="12818" max="12818" width="33" style="968" customWidth="1"/>
    <col min="12819" max="12819" width="15" style="968" customWidth="1"/>
    <col min="12820" max="12821" width="14.5703125" style="968" bestFit="1" customWidth="1"/>
    <col min="12822" max="12822" width="10.5703125" style="968" bestFit="1" customWidth="1"/>
    <col min="12823" max="13056" width="10" style="968"/>
    <col min="13057" max="13057" width="9.42578125" style="968" customWidth="1"/>
    <col min="13058" max="13058" width="20.85546875" style="968" customWidth="1"/>
    <col min="13059" max="13059" width="35.5703125" style="968" customWidth="1"/>
    <col min="13060" max="13060" width="12.85546875" style="968" customWidth="1"/>
    <col min="13061" max="13061" width="10.42578125" style="968" customWidth="1"/>
    <col min="13062" max="13062" width="16.42578125" style="968" customWidth="1"/>
    <col min="13063" max="13063" width="12" style="968" customWidth="1"/>
    <col min="13064" max="13064" width="14.28515625" style="968" bestFit="1" customWidth="1"/>
    <col min="13065" max="13065" width="18.85546875" style="968" customWidth="1"/>
    <col min="13066" max="13066" width="15.5703125" style="968" customWidth="1"/>
    <col min="13067" max="13067" width="16.140625" style="968" customWidth="1"/>
    <col min="13068" max="13069" width="15" style="968" customWidth="1"/>
    <col min="13070" max="13070" width="13.5703125" style="968" customWidth="1"/>
    <col min="13071" max="13071" width="15" style="968" customWidth="1"/>
    <col min="13072" max="13073" width="17.5703125" style="968" customWidth="1"/>
    <col min="13074" max="13074" width="33" style="968" customWidth="1"/>
    <col min="13075" max="13075" width="15" style="968" customWidth="1"/>
    <col min="13076" max="13077" width="14.5703125" style="968" bestFit="1" customWidth="1"/>
    <col min="13078" max="13078" width="10.5703125" style="968" bestFit="1" customWidth="1"/>
    <col min="13079" max="13312" width="10" style="968"/>
    <col min="13313" max="13313" width="9.42578125" style="968" customWidth="1"/>
    <col min="13314" max="13314" width="20.85546875" style="968" customWidth="1"/>
    <col min="13315" max="13315" width="35.5703125" style="968" customWidth="1"/>
    <col min="13316" max="13316" width="12.85546875" style="968" customWidth="1"/>
    <col min="13317" max="13317" width="10.42578125" style="968" customWidth="1"/>
    <col min="13318" max="13318" width="16.42578125" style="968" customWidth="1"/>
    <col min="13319" max="13319" width="12" style="968" customWidth="1"/>
    <col min="13320" max="13320" width="14.28515625" style="968" bestFit="1" customWidth="1"/>
    <col min="13321" max="13321" width="18.85546875" style="968" customWidth="1"/>
    <col min="13322" max="13322" width="15.5703125" style="968" customWidth="1"/>
    <col min="13323" max="13323" width="16.140625" style="968" customWidth="1"/>
    <col min="13324" max="13325" width="15" style="968" customWidth="1"/>
    <col min="13326" max="13326" width="13.5703125" style="968" customWidth="1"/>
    <col min="13327" max="13327" width="15" style="968" customWidth="1"/>
    <col min="13328" max="13329" width="17.5703125" style="968" customWidth="1"/>
    <col min="13330" max="13330" width="33" style="968" customWidth="1"/>
    <col min="13331" max="13331" width="15" style="968" customWidth="1"/>
    <col min="13332" max="13333" width="14.5703125" style="968" bestFit="1" customWidth="1"/>
    <col min="13334" max="13334" width="10.5703125" style="968" bestFit="1" customWidth="1"/>
    <col min="13335" max="13568" width="10" style="968"/>
    <col min="13569" max="13569" width="9.42578125" style="968" customWidth="1"/>
    <col min="13570" max="13570" width="20.85546875" style="968" customWidth="1"/>
    <col min="13571" max="13571" width="35.5703125" style="968" customWidth="1"/>
    <col min="13572" max="13572" width="12.85546875" style="968" customWidth="1"/>
    <col min="13573" max="13573" width="10.42578125" style="968" customWidth="1"/>
    <col min="13574" max="13574" width="16.42578125" style="968" customWidth="1"/>
    <col min="13575" max="13575" width="12" style="968" customWidth="1"/>
    <col min="13576" max="13576" width="14.28515625" style="968" bestFit="1" customWidth="1"/>
    <col min="13577" max="13577" width="18.85546875" style="968" customWidth="1"/>
    <col min="13578" max="13578" width="15.5703125" style="968" customWidth="1"/>
    <col min="13579" max="13579" width="16.140625" style="968" customWidth="1"/>
    <col min="13580" max="13581" width="15" style="968" customWidth="1"/>
    <col min="13582" max="13582" width="13.5703125" style="968" customWidth="1"/>
    <col min="13583" max="13583" width="15" style="968" customWidth="1"/>
    <col min="13584" max="13585" width="17.5703125" style="968" customWidth="1"/>
    <col min="13586" max="13586" width="33" style="968" customWidth="1"/>
    <col min="13587" max="13587" width="15" style="968" customWidth="1"/>
    <col min="13588" max="13589" width="14.5703125" style="968" bestFit="1" customWidth="1"/>
    <col min="13590" max="13590" width="10.5703125" style="968" bestFit="1" customWidth="1"/>
    <col min="13591" max="13824" width="10" style="968"/>
    <col min="13825" max="13825" width="9.42578125" style="968" customWidth="1"/>
    <col min="13826" max="13826" width="20.85546875" style="968" customWidth="1"/>
    <col min="13827" max="13827" width="35.5703125" style="968" customWidth="1"/>
    <col min="13828" max="13828" width="12.85546875" style="968" customWidth="1"/>
    <col min="13829" max="13829" width="10.42578125" style="968" customWidth="1"/>
    <col min="13830" max="13830" width="16.42578125" style="968" customWidth="1"/>
    <col min="13831" max="13831" width="12" style="968" customWidth="1"/>
    <col min="13832" max="13832" width="14.28515625" style="968" bestFit="1" customWidth="1"/>
    <col min="13833" max="13833" width="18.85546875" style="968" customWidth="1"/>
    <col min="13834" max="13834" width="15.5703125" style="968" customWidth="1"/>
    <col min="13835" max="13835" width="16.140625" style="968" customWidth="1"/>
    <col min="13836" max="13837" width="15" style="968" customWidth="1"/>
    <col min="13838" max="13838" width="13.5703125" style="968" customWidth="1"/>
    <col min="13839" max="13839" width="15" style="968" customWidth="1"/>
    <col min="13840" max="13841" width="17.5703125" style="968" customWidth="1"/>
    <col min="13842" max="13842" width="33" style="968" customWidth="1"/>
    <col min="13843" max="13843" width="15" style="968" customWidth="1"/>
    <col min="13844" max="13845" width="14.5703125" style="968" bestFit="1" customWidth="1"/>
    <col min="13846" max="13846" width="10.5703125" style="968" bestFit="1" customWidth="1"/>
    <col min="13847" max="14080" width="10" style="968"/>
    <col min="14081" max="14081" width="9.42578125" style="968" customWidth="1"/>
    <col min="14082" max="14082" width="20.85546875" style="968" customWidth="1"/>
    <col min="14083" max="14083" width="35.5703125" style="968" customWidth="1"/>
    <col min="14084" max="14084" width="12.85546875" style="968" customWidth="1"/>
    <col min="14085" max="14085" width="10.42578125" style="968" customWidth="1"/>
    <col min="14086" max="14086" width="16.42578125" style="968" customWidth="1"/>
    <col min="14087" max="14087" width="12" style="968" customWidth="1"/>
    <col min="14088" max="14088" width="14.28515625" style="968" bestFit="1" customWidth="1"/>
    <col min="14089" max="14089" width="18.85546875" style="968" customWidth="1"/>
    <col min="14090" max="14090" width="15.5703125" style="968" customWidth="1"/>
    <col min="14091" max="14091" width="16.140625" style="968" customWidth="1"/>
    <col min="14092" max="14093" width="15" style="968" customWidth="1"/>
    <col min="14094" max="14094" width="13.5703125" style="968" customWidth="1"/>
    <col min="14095" max="14095" width="15" style="968" customWidth="1"/>
    <col min="14096" max="14097" width="17.5703125" style="968" customWidth="1"/>
    <col min="14098" max="14098" width="33" style="968" customWidth="1"/>
    <col min="14099" max="14099" width="15" style="968" customWidth="1"/>
    <col min="14100" max="14101" width="14.5703125" style="968" bestFit="1" customWidth="1"/>
    <col min="14102" max="14102" width="10.5703125" style="968" bestFit="1" customWidth="1"/>
    <col min="14103" max="14336" width="10" style="968"/>
    <col min="14337" max="14337" width="9.42578125" style="968" customWidth="1"/>
    <col min="14338" max="14338" width="20.85546875" style="968" customWidth="1"/>
    <col min="14339" max="14339" width="35.5703125" style="968" customWidth="1"/>
    <col min="14340" max="14340" width="12.85546875" style="968" customWidth="1"/>
    <col min="14341" max="14341" width="10.42578125" style="968" customWidth="1"/>
    <col min="14342" max="14342" width="16.42578125" style="968" customWidth="1"/>
    <col min="14343" max="14343" width="12" style="968" customWidth="1"/>
    <col min="14344" max="14344" width="14.28515625" style="968" bestFit="1" customWidth="1"/>
    <col min="14345" max="14345" width="18.85546875" style="968" customWidth="1"/>
    <col min="14346" max="14346" width="15.5703125" style="968" customWidth="1"/>
    <col min="14347" max="14347" width="16.140625" style="968" customWidth="1"/>
    <col min="14348" max="14349" width="15" style="968" customWidth="1"/>
    <col min="14350" max="14350" width="13.5703125" style="968" customWidth="1"/>
    <col min="14351" max="14351" width="15" style="968" customWidth="1"/>
    <col min="14352" max="14353" width="17.5703125" style="968" customWidth="1"/>
    <col min="14354" max="14354" width="33" style="968" customWidth="1"/>
    <col min="14355" max="14355" width="15" style="968" customWidth="1"/>
    <col min="14356" max="14357" width="14.5703125" style="968" bestFit="1" customWidth="1"/>
    <col min="14358" max="14358" width="10.5703125" style="968" bestFit="1" customWidth="1"/>
    <col min="14359" max="14592" width="10" style="968"/>
    <col min="14593" max="14593" width="9.42578125" style="968" customWidth="1"/>
    <col min="14594" max="14594" width="20.85546875" style="968" customWidth="1"/>
    <col min="14595" max="14595" width="35.5703125" style="968" customWidth="1"/>
    <col min="14596" max="14596" width="12.85546875" style="968" customWidth="1"/>
    <col min="14597" max="14597" width="10.42578125" style="968" customWidth="1"/>
    <col min="14598" max="14598" width="16.42578125" style="968" customWidth="1"/>
    <col min="14599" max="14599" width="12" style="968" customWidth="1"/>
    <col min="14600" max="14600" width="14.28515625" style="968" bestFit="1" customWidth="1"/>
    <col min="14601" max="14601" width="18.85546875" style="968" customWidth="1"/>
    <col min="14602" max="14602" width="15.5703125" style="968" customWidth="1"/>
    <col min="14603" max="14603" width="16.140625" style="968" customWidth="1"/>
    <col min="14604" max="14605" width="15" style="968" customWidth="1"/>
    <col min="14606" max="14606" width="13.5703125" style="968" customWidth="1"/>
    <col min="14607" max="14607" width="15" style="968" customWidth="1"/>
    <col min="14608" max="14609" width="17.5703125" style="968" customWidth="1"/>
    <col min="14610" max="14610" width="33" style="968" customWidth="1"/>
    <col min="14611" max="14611" width="15" style="968" customWidth="1"/>
    <col min="14612" max="14613" width="14.5703125" style="968" bestFit="1" customWidth="1"/>
    <col min="14614" max="14614" width="10.5703125" style="968" bestFit="1" customWidth="1"/>
    <col min="14615" max="14848" width="10" style="968"/>
    <col min="14849" max="14849" width="9.42578125" style="968" customWidth="1"/>
    <col min="14850" max="14850" width="20.85546875" style="968" customWidth="1"/>
    <col min="14851" max="14851" width="35.5703125" style="968" customWidth="1"/>
    <col min="14852" max="14852" width="12.85546875" style="968" customWidth="1"/>
    <col min="14853" max="14853" width="10.42578125" style="968" customWidth="1"/>
    <col min="14854" max="14854" width="16.42578125" style="968" customWidth="1"/>
    <col min="14855" max="14855" width="12" style="968" customWidth="1"/>
    <col min="14856" max="14856" width="14.28515625" style="968" bestFit="1" customWidth="1"/>
    <col min="14857" max="14857" width="18.85546875" style="968" customWidth="1"/>
    <col min="14858" max="14858" width="15.5703125" style="968" customWidth="1"/>
    <col min="14859" max="14859" width="16.140625" style="968" customWidth="1"/>
    <col min="14860" max="14861" width="15" style="968" customWidth="1"/>
    <col min="14862" max="14862" width="13.5703125" style="968" customWidth="1"/>
    <col min="14863" max="14863" width="15" style="968" customWidth="1"/>
    <col min="14864" max="14865" width="17.5703125" style="968" customWidth="1"/>
    <col min="14866" max="14866" width="33" style="968" customWidth="1"/>
    <col min="14867" max="14867" width="15" style="968" customWidth="1"/>
    <col min="14868" max="14869" width="14.5703125" style="968" bestFit="1" customWidth="1"/>
    <col min="14870" max="14870" width="10.5703125" style="968" bestFit="1" customWidth="1"/>
    <col min="14871" max="15104" width="10" style="968"/>
    <col min="15105" max="15105" width="9.42578125" style="968" customWidth="1"/>
    <col min="15106" max="15106" width="20.85546875" style="968" customWidth="1"/>
    <col min="15107" max="15107" width="35.5703125" style="968" customWidth="1"/>
    <col min="15108" max="15108" width="12.85546875" style="968" customWidth="1"/>
    <col min="15109" max="15109" width="10.42578125" style="968" customWidth="1"/>
    <col min="15110" max="15110" width="16.42578125" style="968" customWidth="1"/>
    <col min="15111" max="15111" width="12" style="968" customWidth="1"/>
    <col min="15112" max="15112" width="14.28515625" style="968" bestFit="1" customWidth="1"/>
    <col min="15113" max="15113" width="18.85546875" style="968" customWidth="1"/>
    <col min="15114" max="15114" width="15.5703125" style="968" customWidth="1"/>
    <col min="15115" max="15115" width="16.140625" style="968" customWidth="1"/>
    <col min="15116" max="15117" width="15" style="968" customWidth="1"/>
    <col min="15118" max="15118" width="13.5703125" style="968" customWidth="1"/>
    <col min="15119" max="15119" width="15" style="968" customWidth="1"/>
    <col min="15120" max="15121" width="17.5703125" style="968" customWidth="1"/>
    <col min="15122" max="15122" width="33" style="968" customWidth="1"/>
    <col min="15123" max="15123" width="15" style="968" customWidth="1"/>
    <col min="15124" max="15125" width="14.5703125" style="968" bestFit="1" customWidth="1"/>
    <col min="15126" max="15126" width="10.5703125" style="968" bestFit="1" customWidth="1"/>
    <col min="15127" max="15360" width="10" style="968"/>
    <col min="15361" max="15361" width="9.42578125" style="968" customWidth="1"/>
    <col min="15362" max="15362" width="20.85546875" style="968" customWidth="1"/>
    <col min="15363" max="15363" width="35.5703125" style="968" customWidth="1"/>
    <col min="15364" max="15364" width="12.85546875" style="968" customWidth="1"/>
    <col min="15365" max="15365" width="10.42578125" style="968" customWidth="1"/>
    <col min="15366" max="15366" width="16.42578125" style="968" customWidth="1"/>
    <col min="15367" max="15367" width="12" style="968" customWidth="1"/>
    <col min="15368" max="15368" width="14.28515625" style="968" bestFit="1" customWidth="1"/>
    <col min="15369" max="15369" width="18.85546875" style="968" customWidth="1"/>
    <col min="15370" max="15370" width="15.5703125" style="968" customWidth="1"/>
    <col min="15371" max="15371" width="16.140625" style="968" customWidth="1"/>
    <col min="15372" max="15373" width="15" style="968" customWidth="1"/>
    <col min="15374" max="15374" width="13.5703125" style="968" customWidth="1"/>
    <col min="15375" max="15375" width="15" style="968" customWidth="1"/>
    <col min="15376" max="15377" width="17.5703125" style="968" customWidth="1"/>
    <col min="15378" max="15378" width="33" style="968" customWidth="1"/>
    <col min="15379" max="15379" width="15" style="968" customWidth="1"/>
    <col min="15380" max="15381" width="14.5703125" style="968" bestFit="1" customWidth="1"/>
    <col min="15382" max="15382" width="10.5703125" style="968" bestFit="1" customWidth="1"/>
    <col min="15383" max="15616" width="10" style="968"/>
    <col min="15617" max="15617" width="9.42578125" style="968" customWidth="1"/>
    <col min="15618" max="15618" width="20.85546875" style="968" customWidth="1"/>
    <col min="15619" max="15619" width="35.5703125" style="968" customWidth="1"/>
    <col min="15620" max="15620" width="12.85546875" style="968" customWidth="1"/>
    <col min="15621" max="15621" width="10.42578125" style="968" customWidth="1"/>
    <col min="15622" max="15622" width="16.42578125" style="968" customWidth="1"/>
    <col min="15623" max="15623" width="12" style="968" customWidth="1"/>
    <col min="15624" max="15624" width="14.28515625" style="968" bestFit="1" customWidth="1"/>
    <col min="15625" max="15625" width="18.85546875" style="968" customWidth="1"/>
    <col min="15626" max="15626" width="15.5703125" style="968" customWidth="1"/>
    <col min="15627" max="15627" width="16.140625" style="968" customWidth="1"/>
    <col min="15628" max="15629" width="15" style="968" customWidth="1"/>
    <col min="15630" max="15630" width="13.5703125" style="968" customWidth="1"/>
    <col min="15631" max="15631" width="15" style="968" customWidth="1"/>
    <col min="15632" max="15633" width="17.5703125" style="968" customWidth="1"/>
    <col min="15634" max="15634" width="33" style="968" customWidth="1"/>
    <col min="15635" max="15635" width="15" style="968" customWidth="1"/>
    <col min="15636" max="15637" width="14.5703125" style="968" bestFit="1" customWidth="1"/>
    <col min="15638" max="15638" width="10.5703125" style="968" bestFit="1" customWidth="1"/>
    <col min="15639" max="15872" width="10" style="968"/>
    <col min="15873" max="15873" width="9.42578125" style="968" customWidth="1"/>
    <col min="15874" max="15874" width="20.85546875" style="968" customWidth="1"/>
    <col min="15875" max="15875" width="35.5703125" style="968" customWidth="1"/>
    <col min="15876" max="15876" width="12.85546875" style="968" customWidth="1"/>
    <col min="15877" max="15877" width="10.42578125" style="968" customWidth="1"/>
    <col min="15878" max="15878" width="16.42578125" style="968" customWidth="1"/>
    <col min="15879" max="15879" width="12" style="968" customWidth="1"/>
    <col min="15880" max="15880" width="14.28515625" style="968" bestFit="1" customWidth="1"/>
    <col min="15881" max="15881" width="18.85546875" style="968" customWidth="1"/>
    <col min="15882" max="15882" width="15.5703125" style="968" customWidth="1"/>
    <col min="15883" max="15883" width="16.140625" style="968" customWidth="1"/>
    <col min="15884" max="15885" width="15" style="968" customWidth="1"/>
    <col min="15886" max="15886" width="13.5703125" style="968" customWidth="1"/>
    <col min="15887" max="15887" width="15" style="968" customWidth="1"/>
    <col min="15888" max="15889" width="17.5703125" style="968" customWidth="1"/>
    <col min="15890" max="15890" width="33" style="968" customWidth="1"/>
    <col min="15891" max="15891" width="15" style="968" customWidth="1"/>
    <col min="15892" max="15893" width="14.5703125" style="968" bestFit="1" customWidth="1"/>
    <col min="15894" max="15894" width="10.5703125" style="968" bestFit="1" customWidth="1"/>
    <col min="15895" max="16128" width="10" style="968"/>
    <col min="16129" max="16129" width="9.42578125" style="968" customWidth="1"/>
    <col min="16130" max="16130" width="20.85546875" style="968" customWidth="1"/>
    <col min="16131" max="16131" width="35.5703125" style="968" customWidth="1"/>
    <col min="16132" max="16132" width="12.85546875" style="968" customWidth="1"/>
    <col min="16133" max="16133" width="10.42578125" style="968" customWidth="1"/>
    <col min="16134" max="16134" width="16.42578125" style="968" customWidth="1"/>
    <col min="16135" max="16135" width="12" style="968" customWidth="1"/>
    <col min="16136" max="16136" width="14.28515625" style="968" bestFit="1" customWidth="1"/>
    <col min="16137" max="16137" width="18.85546875" style="968" customWidth="1"/>
    <col min="16138" max="16138" width="15.5703125" style="968" customWidth="1"/>
    <col min="16139" max="16139" width="16.140625" style="968" customWidth="1"/>
    <col min="16140" max="16141" width="15" style="968" customWidth="1"/>
    <col min="16142" max="16142" width="13.5703125" style="968" customWidth="1"/>
    <col min="16143" max="16143" width="15" style="968" customWidth="1"/>
    <col min="16144" max="16145" width="17.5703125" style="968" customWidth="1"/>
    <col min="16146" max="16146" width="33" style="968" customWidth="1"/>
    <col min="16147" max="16147" width="15" style="968" customWidth="1"/>
    <col min="16148" max="16149" width="14.5703125" style="968" bestFit="1" customWidth="1"/>
    <col min="16150" max="16150" width="10.5703125" style="968" bestFit="1" customWidth="1"/>
    <col min="16151" max="16384" width="10" style="968"/>
  </cols>
  <sheetData>
    <row r="1" spans="1:23" ht="12.75">
      <c r="A1" s="968" t="s">
        <v>822</v>
      </c>
      <c r="R1" s="970"/>
    </row>
    <row r="2" spans="1:23" ht="12.75">
      <c r="A2" s="968" t="s">
        <v>823</v>
      </c>
      <c r="R2" s="970"/>
      <c r="V2" s="971"/>
    </row>
    <row r="3" spans="1:23" ht="12.75">
      <c r="A3" s="968" t="s">
        <v>824</v>
      </c>
      <c r="R3" s="970"/>
      <c r="V3" s="972"/>
    </row>
    <row r="4" spans="1:23">
      <c r="A4" s="968" t="s">
        <v>901</v>
      </c>
      <c r="G4" s="973"/>
    </row>
    <row r="5" spans="1:23">
      <c r="A5" s="968" t="s">
        <v>825</v>
      </c>
      <c r="I5" s="974"/>
      <c r="J5" s="974"/>
      <c r="P5" s="974"/>
      <c r="Q5" s="974"/>
    </row>
    <row r="6" spans="1:23">
      <c r="J6" s="974"/>
      <c r="K6" s="975"/>
      <c r="L6" s="969"/>
      <c r="M6" s="969"/>
      <c r="N6" s="969"/>
      <c r="O6" s="969"/>
      <c r="P6" s="969"/>
      <c r="Q6" s="969"/>
    </row>
    <row r="7" spans="1:23">
      <c r="B7" s="976"/>
      <c r="C7" s="976"/>
      <c r="D7" s="976"/>
      <c r="E7" s="976"/>
      <c r="F7" s="976"/>
      <c r="G7" s="976"/>
      <c r="H7" s="976"/>
      <c r="I7" s="976"/>
      <c r="J7" s="976"/>
      <c r="K7" s="976"/>
      <c r="L7" s="976"/>
      <c r="M7" s="976"/>
      <c r="N7" s="976"/>
      <c r="O7" s="976"/>
      <c r="P7" s="976"/>
      <c r="Q7" s="969"/>
    </row>
    <row r="8" spans="1:23">
      <c r="A8" s="969" t="s">
        <v>446</v>
      </c>
      <c r="B8" s="969" t="s">
        <v>447</v>
      </c>
      <c r="C8" s="969" t="s">
        <v>448</v>
      </c>
      <c r="D8" s="969" t="s">
        <v>449</v>
      </c>
      <c r="E8" s="969" t="s">
        <v>450</v>
      </c>
      <c r="F8" s="969" t="s">
        <v>451</v>
      </c>
      <c r="G8" s="969" t="s">
        <v>452</v>
      </c>
      <c r="H8" s="969" t="s">
        <v>453</v>
      </c>
      <c r="I8" s="969" t="s">
        <v>826</v>
      </c>
      <c r="J8" s="969" t="s">
        <v>827</v>
      </c>
      <c r="K8" s="969" t="s">
        <v>456</v>
      </c>
      <c r="L8" s="969" t="s">
        <v>457</v>
      </c>
      <c r="M8" s="969" t="s">
        <v>458</v>
      </c>
      <c r="N8" s="969" t="s">
        <v>31</v>
      </c>
      <c r="O8" s="969" t="s">
        <v>107</v>
      </c>
      <c r="P8" s="969" t="s">
        <v>152</v>
      </c>
      <c r="Q8" s="969" t="s">
        <v>153</v>
      </c>
      <c r="R8" s="969" t="s">
        <v>154</v>
      </c>
    </row>
    <row r="9" spans="1:23" ht="14.45" customHeight="1">
      <c r="B9"/>
      <c r="C9"/>
      <c r="D9"/>
      <c r="E9"/>
      <c r="I9" s="1157" t="s">
        <v>900</v>
      </c>
      <c r="J9" s="1157"/>
      <c r="K9" s="1158" t="s">
        <v>828</v>
      </c>
      <c r="L9" s="1158"/>
      <c r="M9" s="1158"/>
      <c r="N9" s="1159" t="s">
        <v>829</v>
      </c>
      <c r="O9" s="1159"/>
      <c r="P9" s="1157" t="s">
        <v>899</v>
      </c>
      <c r="Q9" s="1157"/>
    </row>
    <row r="10" spans="1:23" ht="69.95" customHeight="1">
      <c r="A10" s="977" t="s">
        <v>830</v>
      </c>
      <c r="B10" s="978" t="s">
        <v>831</v>
      </c>
      <c r="C10" s="978" t="s">
        <v>832</v>
      </c>
      <c r="D10" s="979" t="s">
        <v>833</v>
      </c>
      <c r="E10" s="979" t="s">
        <v>834</v>
      </c>
      <c r="F10" s="979" t="s">
        <v>835</v>
      </c>
      <c r="G10" s="979" t="s">
        <v>836</v>
      </c>
      <c r="H10" s="979" t="s">
        <v>837</v>
      </c>
      <c r="I10" s="980" t="s">
        <v>838</v>
      </c>
      <c r="J10" s="980" t="s">
        <v>839</v>
      </c>
      <c r="K10" s="979" t="s">
        <v>840</v>
      </c>
      <c r="L10" s="979">
        <v>182.3</v>
      </c>
      <c r="M10" s="979">
        <v>254</v>
      </c>
      <c r="N10" s="979" t="s">
        <v>841</v>
      </c>
      <c r="O10" s="979" t="s">
        <v>842</v>
      </c>
      <c r="P10" s="980" t="s">
        <v>838</v>
      </c>
      <c r="Q10" s="980" t="s">
        <v>839</v>
      </c>
      <c r="R10" s="981" t="s">
        <v>843</v>
      </c>
    </row>
    <row r="11" spans="1:23">
      <c r="B11" s="968"/>
      <c r="D11" s="982"/>
      <c r="E11" s="982"/>
      <c r="F11" s="982"/>
      <c r="G11" s="982"/>
      <c r="H11" s="982"/>
      <c r="I11" s="982"/>
      <c r="J11" s="982"/>
      <c r="K11" s="982"/>
      <c r="L11" s="982"/>
      <c r="M11" s="982"/>
      <c r="N11" s="982"/>
      <c r="O11" s="982"/>
      <c r="P11" s="1160" t="s">
        <v>844</v>
      </c>
      <c r="Q11" s="1160"/>
      <c r="R11" s="981"/>
    </row>
    <row r="12" spans="1:23">
      <c r="B12" s="983" t="s">
        <v>845</v>
      </c>
      <c r="C12" s="984"/>
      <c r="D12" s="984"/>
      <c r="E12" s="984"/>
      <c r="F12" s="984"/>
      <c r="G12" s="984"/>
      <c r="H12" s="984"/>
      <c r="I12" s="984"/>
      <c r="J12" s="984"/>
      <c r="K12" s="984"/>
      <c r="L12" s="984"/>
      <c r="M12" s="984"/>
      <c r="N12" s="984"/>
      <c r="O12" s="984"/>
      <c r="P12" s="984"/>
      <c r="Q12" s="984"/>
      <c r="R12" s="972"/>
      <c r="S12" s="972"/>
      <c r="T12" s="972"/>
      <c r="U12" s="972"/>
      <c r="V12" s="972"/>
      <c r="W12" s="972"/>
    </row>
    <row r="13" spans="1:23">
      <c r="A13" s="968" t="s">
        <v>846</v>
      </c>
      <c r="B13" s="985" t="s">
        <v>847</v>
      </c>
      <c r="C13" s="968" t="s">
        <v>848</v>
      </c>
      <c r="D13" s="968" t="s">
        <v>849</v>
      </c>
      <c r="E13" s="968" t="s">
        <v>850</v>
      </c>
      <c r="F13" s="969"/>
      <c r="I13" s="986"/>
      <c r="J13" s="987"/>
      <c r="K13" s="988"/>
      <c r="L13" s="988"/>
      <c r="M13" s="988"/>
      <c r="N13" s="988"/>
      <c r="O13" s="988"/>
      <c r="P13" s="989">
        <f>SUM(I13:O13)</f>
        <v>0</v>
      </c>
      <c r="Q13" s="990" t="s">
        <v>414</v>
      </c>
      <c r="R13" s="991" t="s">
        <v>851</v>
      </c>
      <c r="S13" s="972"/>
      <c r="T13" s="972"/>
      <c r="U13" s="972"/>
      <c r="V13" s="972"/>
      <c r="W13" s="972"/>
    </row>
    <row r="14" spans="1:23">
      <c r="A14" s="968" t="s">
        <v>852</v>
      </c>
      <c r="B14" s="985" t="s">
        <v>853</v>
      </c>
      <c r="C14" s="968" t="s">
        <v>854</v>
      </c>
      <c r="D14" s="968" t="s">
        <v>855</v>
      </c>
      <c r="E14" s="968" t="s">
        <v>850</v>
      </c>
      <c r="F14" s="992">
        <v>-171531496</v>
      </c>
      <c r="G14" s="993" t="s">
        <v>856</v>
      </c>
      <c r="H14" s="993" t="s">
        <v>857</v>
      </c>
      <c r="I14" s="994"/>
      <c r="J14" s="988"/>
      <c r="K14" s="988"/>
      <c r="L14" s="988"/>
      <c r="M14" s="988"/>
      <c r="N14" s="988"/>
      <c r="O14" s="988"/>
      <c r="P14" s="995" t="s">
        <v>414</v>
      </c>
      <c r="Q14" s="996">
        <f>SUM(J14:O14)</f>
        <v>0</v>
      </c>
      <c r="R14" s="997"/>
      <c r="S14" s="972"/>
      <c r="T14" s="972"/>
      <c r="U14" s="972"/>
      <c r="V14" s="972"/>
      <c r="W14" s="972"/>
    </row>
    <row r="15" spans="1:23">
      <c r="A15" s="968" t="s">
        <v>858</v>
      </c>
      <c r="B15" s="985" t="s">
        <v>853</v>
      </c>
      <c r="C15" s="968" t="s">
        <v>854</v>
      </c>
      <c r="D15" s="968" t="s">
        <v>859</v>
      </c>
      <c r="E15" s="968" t="s">
        <v>850</v>
      </c>
      <c r="F15" s="998">
        <v>0</v>
      </c>
      <c r="G15" s="993" t="s">
        <v>860</v>
      </c>
      <c r="H15" s="993" t="s">
        <v>861</v>
      </c>
      <c r="I15" s="994"/>
      <c r="J15" s="988"/>
      <c r="K15" s="988"/>
      <c r="L15" s="988"/>
      <c r="M15" s="988"/>
      <c r="N15" s="988"/>
      <c r="O15" s="988"/>
      <c r="P15" s="995"/>
      <c r="Q15" s="996">
        <f>SUM(J15:O15)</f>
        <v>0</v>
      </c>
      <c r="R15" s="997" t="s">
        <v>862</v>
      </c>
      <c r="S15" s="972"/>
      <c r="T15" s="972"/>
      <c r="U15" s="972"/>
      <c r="V15" s="972"/>
      <c r="W15" s="972"/>
    </row>
    <row r="16" spans="1:23">
      <c r="A16" s="968" t="s">
        <v>863</v>
      </c>
      <c r="B16" s="985" t="s">
        <v>864</v>
      </c>
      <c r="C16" s="968" t="s">
        <v>865</v>
      </c>
      <c r="D16" s="968" t="s">
        <v>855</v>
      </c>
      <c r="E16" s="968" t="s">
        <v>850</v>
      </c>
      <c r="F16" s="998"/>
      <c r="G16" s="993"/>
      <c r="H16" s="993"/>
      <c r="I16" s="986"/>
      <c r="J16" s="987"/>
      <c r="K16" s="988"/>
      <c r="L16" s="988"/>
      <c r="M16" s="988"/>
      <c r="N16" s="988"/>
      <c r="O16" s="988"/>
      <c r="P16" s="989">
        <f>SUM(I16:O16)</f>
        <v>0</v>
      </c>
      <c r="Q16" s="987"/>
      <c r="R16" s="1154" t="s">
        <v>866</v>
      </c>
      <c r="S16" s="972"/>
      <c r="T16" s="972"/>
      <c r="U16" s="972"/>
      <c r="V16" s="972"/>
      <c r="W16" s="972"/>
    </row>
    <row r="17" spans="1:23">
      <c r="A17" s="968" t="s">
        <v>867</v>
      </c>
      <c r="B17" s="985" t="s">
        <v>864</v>
      </c>
      <c r="C17" s="968" t="s">
        <v>865</v>
      </c>
      <c r="D17" s="968" t="s">
        <v>859</v>
      </c>
      <c r="E17" s="968" t="s">
        <v>850</v>
      </c>
      <c r="F17" s="998"/>
      <c r="G17" s="993"/>
      <c r="H17" s="993"/>
      <c r="I17" s="986"/>
      <c r="J17" s="987"/>
      <c r="K17" s="988"/>
      <c r="L17" s="988"/>
      <c r="M17" s="988"/>
      <c r="N17" s="988"/>
      <c r="O17" s="988"/>
      <c r="P17" s="989">
        <f>SUM(I17:O17)</f>
        <v>0</v>
      </c>
      <c r="Q17" s="987"/>
      <c r="R17" s="1154"/>
      <c r="S17" s="972"/>
      <c r="T17" s="972"/>
      <c r="U17" s="972"/>
      <c r="V17" s="972"/>
      <c r="W17" s="972"/>
    </row>
    <row r="18" spans="1:23">
      <c r="A18" s="968" t="s">
        <v>868</v>
      </c>
      <c r="B18" s="985" t="s">
        <v>869</v>
      </c>
      <c r="C18" s="968" t="s">
        <v>870</v>
      </c>
      <c r="D18" s="968" t="s">
        <v>859</v>
      </c>
      <c r="E18" s="968" t="s">
        <v>850</v>
      </c>
      <c r="F18" s="998">
        <v>2463331</v>
      </c>
      <c r="G18" s="993" t="s">
        <v>860</v>
      </c>
      <c r="H18" s="993" t="s">
        <v>861</v>
      </c>
      <c r="I18" s="994"/>
      <c r="J18" s="988"/>
      <c r="K18" s="988"/>
      <c r="L18" s="988"/>
      <c r="M18" s="988"/>
      <c r="N18" s="988"/>
      <c r="O18" s="988"/>
      <c r="P18" s="995" t="s">
        <v>414</v>
      </c>
      <c r="Q18" s="996">
        <f>SUM(J18:O18)</f>
        <v>0</v>
      </c>
      <c r="R18" s="991" t="s">
        <v>871</v>
      </c>
      <c r="S18" s="972"/>
      <c r="T18" s="972"/>
      <c r="U18" s="972"/>
      <c r="V18" s="972"/>
      <c r="W18" s="972"/>
    </row>
    <row r="19" spans="1:23">
      <c r="A19" s="968" t="s">
        <v>872</v>
      </c>
      <c r="B19" s="985" t="s">
        <v>873</v>
      </c>
      <c r="C19" s="968" t="s">
        <v>874</v>
      </c>
      <c r="D19" s="968" t="s">
        <v>859</v>
      </c>
      <c r="E19" s="968" t="s">
        <v>850</v>
      </c>
      <c r="F19" s="992"/>
      <c r="G19" s="993"/>
      <c r="H19" s="993"/>
      <c r="I19" s="986"/>
      <c r="J19" s="987"/>
      <c r="K19" s="988"/>
      <c r="L19" s="988"/>
      <c r="M19" s="988"/>
      <c r="N19" s="988"/>
      <c r="O19" s="988"/>
      <c r="P19" s="989">
        <f>SUM(I19:O19)</f>
        <v>0</v>
      </c>
      <c r="Q19" s="995"/>
      <c r="R19" s="991" t="s">
        <v>875</v>
      </c>
      <c r="S19" s="972"/>
      <c r="T19" s="972"/>
      <c r="U19" s="972"/>
      <c r="V19" s="972"/>
      <c r="W19" s="972"/>
    </row>
    <row r="20" spans="1:23">
      <c r="A20" s="968" t="s">
        <v>876</v>
      </c>
      <c r="B20" s="993" t="s">
        <v>877</v>
      </c>
      <c r="F20" s="992"/>
      <c r="G20" s="993"/>
      <c r="H20" s="993"/>
      <c r="I20" s="986"/>
      <c r="J20" s="986"/>
      <c r="K20" s="988"/>
      <c r="L20" s="988"/>
      <c r="M20" s="988"/>
      <c r="N20" s="988"/>
      <c r="O20" s="988"/>
      <c r="P20" s="990"/>
      <c r="Q20" s="989"/>
      <c r="R20" s="999"/>
      <c r="S20" s="972"/>
      <c r="T20" s="972"/>
      <c r="U20" s="972"/>
      <c r="V20" s="972"/>
      <c r="W20" s="972"/>
    </row>
    <row r="21" spans="1:23" ht="12.75">
      <c r="B21"/>
      <c r="C21"/>
      <c r="D21"/>
      <c r="E21"/>
      <c r="F21"/>
      <c r="G21"/>
      <c r="H21"/>
      <c r="I21"/>
      <c r="J21"/>
      <c r="K21"/>
      <c r="L21"/>
      <c r="M21"/>
      <c r="N21"/>
      <c r="O21"/>
      <c r="P21"/>
      <c r="Q21"/>
      <c r="R21"/>
      <c r="S21" s="972"/>
      <c r="T21" s="972"/>
      <c r="U21" s="972"/>
      <c r="V21" s="972"/>
      <c r="W21" s="972"/>
    </row>
    <row r="22" spans="1:23" s="972" customFormat="1">
      <c r="A22" s="968"/>
      <c r="B22" s="983" t="s">
        <v>878</v>
      </c>
    </row>
    <row r="23" spans="1:23" ht="11.45" customHeight="1">
      <c r="A23" s="968" t="s">
        <v>879</v>
      </c>
      <c r="B23" s="969">
        <v>182.3</v>
      </c>
      <c r="C23" s="1000" t="s">
        <v>880</v>
      </c>
      <c r="D23" s="1001" t="s">
        <v>414</v>
      </c>
      <c r="E23" s="968" t="s">
        <v>850</v>
      </c>
      <c r="F23" s="1001"/>
      <c r="G23" s="1001" t="s">
        <v>414</v>
      </c>
      <c r="H23" s="1001"/>
      <c r="I23" s="1002"/>
      <c r="J23" s="986"/>
      <c r="K23" s="988"/>
      <c r="L23" s="988"/>
      <c r="M23" s="988"/>
      <c r="N23" s="988"/>
      <c r="O23" s="987"/>
      <c r="P23" s="990">
        <f>SUM(I23:O23)</f>
        <v>0</v>
      </c>
      <c r="Q23" s="1003"/>
      <c r="R23" s="991" t="s">
        <v>881</v>
      </c>
      <c r="S23" s="972"/>
      <c r="T23" s="972"/>
      <c r="U23" s="972"/>
      <c r="V23" s="972"/>
      <c r="W23" s="972"/>
    </row>
    <row r="24" spans="1:23" ht="11.45" customHeight="1">
      <c r="A24" s="968" t="s">
        <v>882</v>
      </c>
      <c r="B24" s="969">
        <v>254</v>
      </c>
      <c r="C24" s="1000" t="s">
        <v>883</v>
      </c>
      <c r="D24" s="1001" t="s">
        <v>414</v>
      </c>
      <c r="E24" s="968" t="s">
        <v>850</v>
      </c>
      <c r="F24" s="1001"/>
      <c r="G24" s="1001" t="s">
        <v>414</v>
      </c>
      <c r="H24" s="1001"/>
      <c r="I24" s="1002"/>
      <c r="J24" s="986"/>
      <c r="K24" s="988"/>
      <c r="L24" s="988"/>
      <c r="M24" s="988"/>
      <c r="N24" s="988"/>
      <c r="O24" s="987"/>
      <c r="P24" s="990">
        <f>SUM(I24:O24)</f>
        <v>0</v>
      </c>
      <c r="Q24" s="1003"/>
      <c r="R24" s="991" t="s">
        <v>884</v>
      </c>
      <c r="S24" s="972"/>
      <c r="T24" s="972"/>
      <c r="U24" s="972"/>
      <c r="V24" s="972"/>
      <c r="W24" s="972"/>
    </row>
    <row r="25" spans="1:23" ht="11.45" customHeight="1">
      <c r="A25" s="968" t="s">
        <v>885</v>
      </c>
      <c r="B25" s="993" t="s">
        <v>877</v>
      </c>
      <c r="C25" s="1000"/>
      <c r="D25" s="1001"/>
      <c r="F25" s="1001"/>
      <c r="G25" s="1001"/>
      <c r="H25" s="1001"/>
      <c r="I25" s="988"/>
      <c r="J25" s="988"/>
      <c r="K25" s="988"/>
      <c r="L25" s="988"/>
      <c r="M25" s="988"/>
      <c r="N25" s="988"/>
      <c r="O25" s="1001"/>
      <c r="P25" s="1003"/>
      <c r="Q25" s="1003"/>
      <c r="R25" s="991"/>
      <c r="S25" s="972"/>
      <c r="T25" s="972"/>
      <c r="U25" s="972"/>
      <c r="V25" s="972"/>
      <c r="W25" s="972"/>
    </row>
    <row r="26" spans="1:23">
      <c r="C26" s="1000"/>
      <c r="D26" s="976"/>
      <c r="E26" s="976"/>
      <c r="F26" s="976"/>
      <c r="G26" s="976"/>
      <c r="H26" s="976"/>
      <c r="I26" s="976"/>
      <c r="J26" s="976"/>
      <c r="K26" s="976"/>
      <c r="L26" s="976"/>
      <c r="M26" s="976"/>
      <c r="N26" s="976"/>
      <c r="O26" s="976"/>
      <c r="P26" s="976"/>
      <c r="Q26" s="976"/>
      <c r="R26" s="1004"/>
      <c r="S26" s="972"/>
      <c r="T26" s="972"/>
      <c r="U26" s="972"/>
      <c r="V26" s="972"/>
      <c r="W26" s="972"/>
    </row>
    <row r="27" spans="1:23" ht="12.75" thickBot="1">
      <c r="A27" s="1005">
        <v>3</v>
      </c>
      <c r="B27" s="1155" t="str">
        <f>"Total For Accounting Entires (Sum of Lines "&amp;A13&amp;" through "&amp;A24&amp;")"</f>
        <v>Total For Accounting Entires (Sum of Lines 1a through 2b)</v>
      </c>
      <c r="C27" s="1155"/>
      <c r="D27" s="1001"/>
      <c r="E27" s="1001"/>
      <c r="F27" s="1001"/>
      <c r="G27" s="1001"/>
      <c r="H27" s="1001"/>
      <c r="I27" s="1006">
        <f>SUM(I13:I26)</f>
        <v>0</v>
      </c>
      <c r="J27" s="1007">
        <f>SUM(J13:J26)</f>
        <v>0</v>
      </c>
      <c r="K27" s="1008">
        <f>SUM(K13:K26)</f>
        <v>0</v>
      </c>
      <c r="L27" s="1008">
        <f>SUM(L13:L26)</f>
        <v>0</v>
      </c>
      <c r="M27" s="1008">
        <f>SUM(M13:M26)</f>
        <v>0</v>
      </c>
      <c r="N27" s="1007">
        <f>-SUM(N13:N26)</f>
        <v>0</v>
      </c>
      <c r="O27" s="1007">
        <f>-SUM(O13:O26)</f>
        <v>0</v>
      </c>
      <c r="P27" s="1008">
        <f>SUM(P13:P26)</f>
        <v>0</v>
      </c>
      <c r="Q27" s="1007">
        <f>SUM(Q13:Q26)</f>
        <v>0</v>
      </c>
      <c r="R27" s="1009"/>
      <c r="S27" s="972"/>
      <c r="T27" s="972"/>
      <c r="U27" s="972"/>
      <c r="V27" s="972"/>
      <c r="W27" s="972"/>
    </row>
    <row r="28" spans="1:23" ht="12.75" thickTop="1">
      <c r="C28" s="1000"/>
      <c r="D28" s="976"/>
      <c r="E28" s="976"/>
      <c r="F28" s="976"/>
      <c r="G28" s="976"/>
      <c r="H28" s="976"/>
      <c r="I28" s="1010"/>
      <c r="J28" s="998"/>
      <c r="K28" s="1011"/>
      <c r="L28" s="1011"/>
      <c r="M28" s="1011"/>
      <c r="N28" s="1012" t="s">
        <v>886</v>
      </c>
      <c r="O28" s="1012"/>
      <c r="P28" s="1011"/>
      <c r="Q28" s="1013"/>
      <c r="R28" s="1009"/>
      <c r="S28" s="972"/>
      <c r="T28" s="972"/>
      <c r="U28" s="972"/>
      <c r="V28" s="972"/>
      <c r="W28" s="972"/>
    </row>
    <row r="29" spans="1:23">
      <c r="B29" s="968"/>
      <c r="C29" s="1000"/>
      <c r="D29" s="976"/>
      <c r="E29" s="976"/>
      <c r="F29" s="976"/>
      <c r="G29" s="976"/>
      <c r="H29" s="976"/>
      <c r="I29" s="1010"/>
      <c r="J29" s="1013"/>
      <c r="K29" s="1011"/>
      <c r="L29" s="1011"/>
      <c r="M29" s="1011"/>
      <c r="N29" s="1013"/>
      <c r="O29" s="1013"/>
      <c r="P29" s="1011"/>
      <c r="Q29" s="1013"/>
      <c r="R29" s="1009"/>
      <c r="S29" s="972"/>
      <c r="T29" s="972"/>
      <c r="U29" s="972"/>
      <c r="V29" s="972"/>
      <c r="W29" s="972"/>
    </row>
    <row r="30" spans="1:23" ht="15" customHeight="1">
      <c r="A30" s="1014" t="s">
        <v>887</v>
      </c>
      <c r="B30" s="1156" t="s">
        <v>888</v>
      </c>
      <c r="C30" s="1156"/>
      <c r="D30" s="1156"/>
      <c r="E30" s="1156"/>
      <c r="F30" s="1156"/>
      <c r="G30" s="1156"/>
      <c r="H30" s="1156"/>
      <c r="I30" s="1156"/>
      <c r="J30" s="1156"/>
      <c r="K30" s="1015"/>
      <c r="O30" s="994"/>
      <c r="P30" s="994"/>
      <c r="Q30" s="994"/>
      <c r="R30" s="972"/>
    </row>
    <row r="31" spans="1:23">
      <c r="B31" s="1156"/>
      <c r="C31" s="1156"/>
      <c r="D31" s="1156"/>
      <c r="E31" s="1156"/>
      <c r="F31" s="1156"/>
      <c r="G31" s="1156"/>
      <c r="H31" s="1156"/>
      <c r="I31" s="1156"/>
      <c r="J31" s="1156"/>
      <c r="K31" s="1015"/>
      <c r="O31" s="994"/>
      <c r="R31" s="972"/>
    </row>
    <row r="32" spans="1:23">
      <c r="B32" s="1156"/>
      <c r="C32" s="1156"/>
      <c r="D32" s="1156"/>
      <c r="E32" s="1156"/>
      <c r="F32" s="1156"/>
      <c r="G32" s="1156"/>
      <c r="H32" s="1156"/>
      <c r="I32" s="1156"/>
      <c r="J32" s="1156"/>
      <c r="K32" s="1015"/>
      <c r="R32" s="972"/>
    </row>
    <row r="33" spans="1:18">
      <c r="B33" s="1156"/>
      <c r="C33" s="1156"/>
      <c r="D33" s="1156"/>
      <c r="E33" s="1156"/>
      <c r="F33" s="1156"/>
      <c r="G33" s="1156"/>
      <c r="H33" s="1156"/>
      <c r="I33" s="1156"/>
      <c r="J33" s="1156"/>
      <c r="K33" s="1015"/>
      <c r="P33" s="994"/>
      <c r="Q33" s="994"/>
      <c r="R33" s="972"/>
    </row>
    <row r="34" spans="1:18">
      <c r="B34" s="1156"/>
      <c r="C34" s="1156"/>
      <c r="D34" s="1156"/>
      <c r="E34" s="1156"/>
      <c r="F34" s="1156"/>
      <c r="G34" s="1156"/>
      <c r="H34" s="1156"/>
      <c r="I34" s="1156"/>
      <c r="J34" s="1156"/>
      <c r="K34" s="1015"/>
      <c r="R34" s="972"/>
    </row>
    <row r="35" spans="1:18">
      <c r="B35" s="1156"/>
      <c r="C35" s="1156"/>
      <c r="D35" s="1156"/>
      <c r="E35" s="1156"/>
      <c r="F35" s="1156"/>
      <c r="G35" s="1156"/>
      <c r="H35" s="1156"/>
      <c r="I35" s="1156"/>
      <c r="J35" s="1156"/>
      <c r="K35" s="1015"/>
      <c r="R35" s="972"/>
    </row>
    <row r="36" spans="1:18" ht="5.0999999999999996" customHeight="1">
      <c r="B36" s="1015"/>
      <c r="C36" s="1015"/>
      <c r="D36" s="1015"/>
      <c r="E36" s="1015"/>
      <c r="F36" s="1015"/>
      <c r="G36" s="1015"/>
      <c r="H36" s="1015"/>
      <c r="I36" s="1015"/>
      <c r="J36" s="1015"/>
      <c r="K36" s="1015"/>
      <c r="R36" s="972"/>
    </row>
    <row r="37" spans="1:18" ht="12.6" customHeight="1">
      <c r="A37" s="968" t="s">
        <v>889</v>
      </c>
      <c r="B37" s="1016" t="s">
        <v>890</v>
      </c>
      <c r="C37" s="1016"/>
      <c r="D37" s="1016"/>
      <c r="E37" s="1016"/>
      <c r="F37" s="1016"/>
      <c r="G37" s="1016"/>
      <c r="H37" s="1016"/>
      <c r="I37" s="1016"/>
      <c r="J37" s="1016"/>
      <c r="K37" s="1015"/>
      <c r="R37" s="972"/>
    </row>
    <row r="38" spans="1:18" ht="5.0999999999999996" customHeight="1">
      <c r="B38" s="1015"/>
      <c r="C38" s="1015"/>
      <c r="D38" s="1015"/>
      <c r="E38" s="1015"/>
      <c r="F38" s="1015"/>
      <c r="G38" s="1015"/>
      <c r="H38" s="1015"/>
      <c r="I38" s="1015"/>
      <c r="J38" s="1015"/>
      <c r="K38" s="1015"/>
      <c r="R38" s="972"/>
    </row>
    <row r="39" spans="1:18" ht="12.6" customHeight="1">
      <c r="A39" s="968" t="s">
        <v>891</v>
      </c>
      <c r="B39" s="1156" t="s">
        <v>892</v>
      </c>
      <c r="C39" s="1156"/>
      <c r="D39" s="1156"/>
      <c r="E39" s="1156"/>
      <c r="F39" s="1156"/>
      <c r="G39" s="1156"/>
      <c r="H39" s="1156"/>
      <c r="I39" s="1156"/>
      <c r="J39" s="1156"/>
      <c r="K39" s="1015"/>
      <c r="R39" s="972"/>
    </row>
    <row r="40" spans="1:18" ht="12.6" customHeight="1">
      <c r="B40" s="1156"/>
      <c r="C40" s="1156"/>
      <c r="D40" s="1156"/>
      <c r="E40" s="1156"/>
      <c r="F40" s="1156"/>
      <c r="G40" s="1156"/>
      <c r="H40" s="1156"/>
      <c r="I40" s="1156"/>
      <c r="J40" s="1156"/>
      <c r="K40" s="1015"/>
      <c r="R40" s="972"/>
    </row>
    <row r="41" spans="1:18" ht="5.0999999999999996" customHeight="1">
      <c r="B41" s="1015"/>
      <c r="C41" s="1015"/>
      <c r="D41" s="1015"/>
      <c r="E41" s="1015"/>
      <c r="F41" s="1015"/>
      <c r="G41" s="1015"/>
      <c r="H41" s="1015"/>
      <c r="I41" s="1015"/>
      <c r="J41" s="1015"/>
      <c r="K41" s="1015"/>
      <c r="R41" s="972"/>
    </row>
    <row r="42" spans="1:18">
      <c r="A42" s="968" t="s">
        <v>893</v>
      </c>
      <c r="B42" s="1005" t="s">
        <v>894</v>
      </c>
      <c r="C42" s="1015"/>
      <c r="D42" s="1015"/>
      <c r="E42" s="1015"/>
      <c r="F42" s="1015"/>
      <c r="G42" s="1015"/>
      <c r="H42" s="1015"/>
      <c r="I42" s="1015"/>
      <c r="J42" s="1015"/>
      <c r="K42" s="1015"/>
      <c r="R42" s="972"/>
    </row>
    <row r="43" spans="1:18" ht="8.1" customHeight="1">
      <c r="B43" s="1005"/>
      <c r="C43" s="1015"/>
      <c r="D43" s="1015"/>
      <c r="E43" s="1015"/>
      <c r="F43" s="1015"/>
      <c r="G43" s="1015"/>
      <c r="H43" s="1015"/>
      <c r="I43" s="1015"/>
      <c r="J43" s="1015"/>
      <c r="K43" s="1015"/>
      <c r="R43" s="972"/>
    </row>
    <row r="44" spans="1:18">
      <c r="A44" s="1005" t="s">
        <v>895</v>
      </c>
      <c r="B44" s="1156" t="str">
        <f>"The amount of excess amortization entries shown in lines "&amp;A13&amp;" through "&amp;A20&amp;"  are shown as a debit or credit to the ADIT account from which it is being amortized.  The total in line "&amp;A27&amp;" is the offset as charged to the 410/411 account."</f>
        <v>The amount of excess amortization entries shown in lines 1a through 1h  are shown as a debit or credit to the ADIT account from which it is being amortized.  The total in line 3 is the offset as charged to the 410/411 account.</v>
      </c>
      <c r="C44" s="1156"/>
      <c r="D44" s="1156"/>
      <c r="E44" s="1156"/>
      <c r="F44" s="1156"/>
      <c r="G44" s="1156"/>
      <c r="H44" s="1156"/>
      <c r="I44" s="1156"/>
      <c r="J44" s="1015"/>
      <c r="R44" s="972"/>
    </row>
    <row r="45" spans="1:18" ht="11.45" customHeight="1">
      <c r="B45" s="1156"/>
      <c r="C45" s="1156"/>
      <c r="D45" s="1156"/>
      <c r="E45" s="1156"/>
      <c r="F45" s="1156"/>
      <c r="G45" s="1156"/>
      <c r="H45" s="1156"/>
      <c r="I45" s="1156"/>
      <c r="J45" s="1015"/>
      <c r="R45" s="972"/>
    </row>
    <row r="46" spans="1:18">
      <c r="R46" s="972"/>
    </row>
    <row r="47" spans="1:18">
      <c r="R47" s="972"/>
    </row>
    <row r="48" spans="1:18">
      <c r="R48" s="972"/>
    </row>
    <row r="53" spans="1:11">
      <c r="A53" s="1014"/>
      <c r="B53" s="1014"/>
      <c r="C53" s="1014"/>
      <c r="D53" s="1014"/>
      <c r="E53" s="1014"/>
      <c r="F53" s="1014"/>
      <c r="G53" s="1014"/>
      <c r="H53" s="1014"/>
      <c r="I53" s="1014"/>
      <c r="J53" s="1014"/>
      <c r="K53" s="1014"/>
    </row>
    <row r="54" spans="1:11">
      <c r="A54" s="1014"/>
      <c r="B54" s="1014"/>
      <c r="C54" s="1014"/>
      <c r="D54" s="1014"/>
      <c r="E54" s="1014"/>
      <c r="F54" s="1014"/>
      <c r="G54" s="1014"/>
      <c r="H54" s="1014"/>
      <c r="I54" s="1014"/>
      <c r="J54" s="1014"/>
      <c r="K54" s="1014"/>
    </row>
    <row r="55" spans="1:11">
      <c r="D55" s="1014"/>
      <c r="E55" s="1014"/>
      <c r="F55" s="1014"/>
      <c r="G55" s="1014"/>
      <c r="H55" s="1014"/>
      <c r="I55" s="1014"/>
      <c r="J55" s="1014"/>
      <c r="K55" s="1014"/>
    </row>
    <row r="56" spans="1:11">
      <c r="A56" s="1014"/>
      <c r="B56" s="1014"/>
      <c r="C56" s="1014"/>
      <c r="D56" s="1014"/>
      <c r="E56" s="1014"/>
      <c r="F56" s="1014"/>
      <c r="G56" s="1014"/>
      <c r="H56" s="1014"/>
      <c r="I56" s="1014"/>
      <c r="J56" s="1014"/>
      <c r="K56" s="1014"/>
    </row>
    <row r="57" spans="1:11">
      <c r="A57" s="1014"/>
      <c r="B57" s="1014"/>
      <c r="C57" s="1014"/>
      <c r="D57" s="1014"/>
      <c r="E57" s="1014"/>
      <c r="F57" s="1014"/>
      <c r="G57" s="1014"/>
      <c r="H57" s="1014"/>
      <c r="I57" s="1014"/>
      <c r="J57" s="1014"/>
      <c r="K57" s="1014"/>
    </row>
    <row r="58" spans="1:11">
      <c r="A58" s="1014"/>
      <c r="B58" s="1014"/>
      <c r="C58" s="1014"/>
      <c r="D58" s="1014"/>
      <c r="E58" s="1014"/>
      <c r="F58" s="1014"/>
      <c r="G58" s="1014"/>
      <c r="H58" s="1014"/>
      <c r="I58" s="1014"/>
      <c r="J58" s="1014"/>
      <c r="K58" s="1014"/>
    </row>
    <row r="59" spans="1:11">
      <c r="A59" s="1014"/>
      <c r="B59" s="1014"/>
      <c r="C59" s="1014"/>
      <c r="D59" s="1014"/>
      <c r="E59" s="1014"/>
      <c r="F59" s="1014"/>
      <c r="G59" s="1014"/>
      <c r="H59" s="1014"/>
      <c r="I59" s="1014"/>
      <c r="J59" s="1014"/>
      <c r="K59" s="1014"/>
    </row>
    <row r="60" spans="1:11">
      <c r="A60" s="1014"/>
      <c r="B60" s="1014"/>
      <c r="C60" s="1014"/>
      <c r="D60" s="1014"/>
      <c r="E60" s="1014"/>
      <c r="F60" s="1014"/>
      <c r="G60" s="1014"/>
      <c r="H60" s="1014"/>
      <c r="I60" s="1014"/>
      <c r="J60" s="1014"/>
      <c r="K60" s="1014"/>
    </row>
    <row r="61" spans="1:11">
      <c r="A61" s="1014"/>
      <c r="B61" s="1014"/>
      <c r="C61" s="1014"/>
      <c r="D61" s="1014"/>
      <c r="E61" s="1014"/>
      <c r="F61" s="1014"/>
      <c r="G61" s="1014"/>
      <c r="H61" s="1014"/>
      <c r="I61" s="1014"/>
      <c r="J61" s="1014"/>
      <c r="K61" s="1014"/>
    </row>
    <row r="62" spans="1:11">
      <c r="A62" s="1014"/>
      <c r="B62" s="1014"/>
      <c r="C62" s="1014"/>
      <c r="D62" s="1014"/>
      <c r="E62" s="1014"/>
      <c r="F62" s="1014"/>
      <c r="G62" s="1014"/>
      <c r="H62" s="1014"/>
      <c r="I62" s="1014"/>
      <c r="J62" s="1014"/>
      <c r="K62" s="1014"/>
    </row>
    <row r="63" spans="1:11">
      <c r="A63" s="1014"/>
      <c r="B63" s="1014"/>
      <c r="C63" s="1014"/>
      <c r="D63" s="1014"/>
      <c r="E63" s="1014"/>
      <c r="F63" s="1014"/>
      <c r="G63" s="1014"/>
      <c r="H63" s="1014"/>
      <c r="I63" s="1014"/>
      <c r="J63" s="1014"/>
      <c r="K63" s="1014"/>
    </row>
    <row r="70" spans="1:11">
      <c r="B70" s="1005"/>
    </row>
    <row r="71" spans="1:11">
      <c r="B71" s="968"/>
    </row>
    <row r="72" spans="1:11">
      <c r="B72" s="968"/>
    </row>
    <row r="73" spans="1:11">
      <c r="B73" s="968"/>
    </row>
    <row r="74" spans="1:11">
      <c r="B74" s="968"/>
    </row>
    <row r="75" spans="1:11">
      <c r="A75" s="1017"/>
      <c r="B75" s="1014"/>
      <c r="C75" s="1014"/>
      <c r="D75" s="1014"/>
      <c r="E75" s="1014"/>
      <c r="F75" s="1014"/>
      <c r="G75" s="1014"/>
      <c r="H75" s="1014"/>
      <c r="I75" s="1014"/>
      <c r="J75" s="1014"/>
      <c r="K75" s="1014"/>
    </row>
    <row r="76" spans="1:11">
      <c r="A76" s="1014"/>
      <c r="B76" s="1014"/>
      <c r="C76" s="1014"/>
      <c r="D76" s="1014"/>
      <c r="E76" s="1014"/>
      <c r="F76" s="1014"/>
      <c r="G76" s="1014"/>
      <c r="H76" s="1014"/>
      <c r="I76" s="1014"/>
      <c r="J76" s="1014"/>
      <c r="K76" s="1014"/>
    </row>
    <row r="77" spans="1:11">
      <c r="A77" s="1014"/>
      <c r="B77" s="1014"/>
      <c r="C77" s="1014"/>
      <c r="D77" s="1014"/>
      <c r="E77" s="1014"/>
      <c r="F77" s="1014"/>
      <c r="G77" s="1014"/>
      <c r="H77" s="1014"/>
      <c r="I77" s="1014"/>
      <c r="J77" s="1014"/>
      <c r="K77" s="1014"/>
    </row>
    <row r="78" spans="1:11">
      <c r="A78" s="1014"/>
      <c r="B78" s="1014"/>
      <c r="C78" s="1014"/>
      <c r="D78" s="1014"/>
      <c r="E78" s="1014"/>
      <c r="F78" s="1014"/>
      <c r="G78" s="1014"/>
      <c r="H78" s="1014"/>
      <c r="I78" s="1014"/>
      <c r="J78" s="1014"/>
      <c r="K78" s="1014"/>
    </row>
    <row r="79" spans="1:11">
      <c r="A79" s="1014"/>
      <c r="B79" s="1014"/>
      <c r="C79" s="1014"/>
      <c r="D79" s="1018"/>
      <c r="E79" s="1018"/>
      <c r="F79" s="1018"/>
      <c r="G79" s="1014"/>
      <c r="H79" s="1014"/>
      <c r="I79" s="1014"/>
      <c r="J79" s="1014"/>
      <c r="K79" s="1014"/>
    </row>
    <row r="80" spans="1:11">
      <c r="A80" s="1014"/>
      <c r="B80" s="1014"/>
      <c r="C80" s="1014"/>
      <c r="D80" s="994"/>
      <c r="E80" s="994"/>
      <c r="F80" s="994"/>
      <c r="G80" s="1014"/>
      <c r="H80" s="1014"/>
      <c r="I80" s="1014"/>
      <c r="J80" s="1014"/>
      <c r="K80" s="1014"/>
    </row>
    <row r="81" spans="1:11">
      <c r="A81" s="1014"/>
      <c r="B81" s="1014"/>
      <c r="C81" s="1014"/>
      <c r="D81" s="1018"/>
      <c r="E81" s="1018"/>
      <c r="F81" s="1018"/>
      <c r="G81" s="1014"/>
      <c r="H81" s="1014"/>
      <c r="I81" s="1014"/>
      <c r="J81" s="1014"/>
      <c r="K81" s="1014"/>
    </row>
    <row r="82" spans="1:11">
      <c r="A82" s="1014"/>
      <c r="B82" s="1014"/>
      <c r="C82" s="1014"/>
      <c r="D82" s="1014"/>
      <c r="E82" s="1014"/>
      <c r="F82" s="1014"/>
      <c r="G82" s="1014"/>
      <c r="H82" s="1014"/>
      <c r="I82" s="1014"/>
      <c r="J82" s="1014"/>
      <c r="K82" s="1014"/>
    </row>
    <row r="83" spans="1:11">
      <c r="A83" s="1014"/>
      <c r="B83" s="1014"/>
      <c r="C83" s="1014"/>
      <c r="D83" s="1014"/>
      <c r="E83" s="1014"/>
      <c r="F83" s="1014"/>
      <c r="G83" s="1014"/>
      <c r="H83" s="1014"/>
      <c r="I83" s="1014"/>
      <c r="J83" s="1014"/>
      <c r="K83" s="1014"/>
    </row>
    <row r="84" spans="1:11">
      <c r="A84" s="1014"/>
      <c r="B84" s="1014"/>
      <c r="C84" s="1014"/>
      <c r="D84" s="1014"/>
      <c r="E84" s="1014"/>
      <c r="F84" s="1014"/>
      <c r="G84" s="1014"/>
      <c r="H84" s="1014"/>
      <c r="I84" s="1014"/>
      <c r="J84" s="1014"/>
      <c r="K84" s="1014"/>
    </row>
    <row r="85" spans="1:11">
      <c r="A85" s="1014"/>
      <c r="C85" s="1014"/>
      <c r="D85" s="1014"/>
      <c r="E85" s="1014"/>
      <c r="F85" s="1014"/>
      <c r="G85" s="1014"/>
      <c r="H85" s="1014"/>
      <c r="I85" s="1014"/>
      <c r="J85" s="1014"/>
      <c r="K85" s="1014"/>
    </row>
    <row r="86" spans="1:11">
      <c r="A86" s="1014"/>
      <c r="B86" s="1014"/>
      <c r="C86" s="1014"/>
      <c r="D86" s="1014"/>
      <c r="E86" s="1014"/>
      <c r="F86" s="1014"/>
      <c r="G86" s="1014"/>
      <c r="H86" s="1014"/>
      <c r="I86" s="1014"/>
      <c r="J86" s="1014"/>
      <c r="K86" s="1014"/>
    </row>
    <row r="87" spans="1:11">
      <c r="A87" s="1014"/>
      <c r="B87" s="1014"/>
      <c r="C87" s="1014"/>
      <c r="D87" s="1014"/>
      <c r="E87" s="1014"/>
      <c r="F87" s="1014"/>
      <c r="G87" s="1014"/>
      <c r="H87" s="1014"/>
      <c r="I87" s="1014"/>
      <c r="J87" s="1014"/>
      <c r="K87" s="1014"/>
    </row>
  </sheetData>
  <mergeCells count="10">
    <mergeCell ref="I9:J9"/>
    <mergeCell ref="K9:M9"/>
    <mergeCell ref="N9:O9"/>
    <mergeCell ref="P9:Q9"/>
    <mergeCell ref="P11:Q11"/>
    <mergeCell ref="R16:R17"/>
    <mergeCell ref="B27:C27"/>
    <mergeCell ref="B30:J35"/>
    <mergeCell ref="B39:J40"/>
    <mergeCell ref="B44:I4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35A4D-D0EB-4455-9A6D-3E52DD5F8F97}">
  <dimension ref="A1:O42"/>
  <sheetViews>
    <sheetView workbookViewId="0">
      <selection activeCell="L29" sqref="L29"/>
    </sheetView>
  </sheetViews>
  <sheetFormatPr defaultRowHeight="12.75"/>
  <cols>
    <col min="1" max="4" width="9.140625" style="1040"/>
    <col min="5" max="5" width="30.28515625" style="1040" bestFit="1" customWidth="1"/>
    <col min="6" max="6" width="13" style="1040" customWidth="1"/>
    <col min="7" max="7" width="9.140625" style="1040"/>
    <col min="8" max="8" width="15.28515625" style="1040" customWidth="1"/>
    <col min="9" max="9" width="2.42578125" style="1040" customWidth="1"/>
    <col min="10" max="10" width="14.7109375" style="1040" customWidth="1"/>
    <col min="11" max="11" width="2.5703125" style="1040" customWidth="1"/>
    <col min="12" max="12" width="18.42578125" style="1040" customWidth="1"/>
    <col min="13" max="13" width="13.42578125" style="1040" customWidth="1"/>
    <col min="14" max="14" width="4.42578125" style="1040" customWidth="1"/>
    <col min="15" max="15" width="15.28515625" style="1040" customWidth="1"/>
    <col min="16" max="16384" width="9.140625" style="1040"/>
  </cols>
  <sheetData>
    <row r="1" spans="1:15" ht="15">
      <c r="A1" s="1039" t="s">
        <v>923</v>
      </c>
      <c r="L1" s="1041"/>
      <c r="M1" s="1041"/>
      <c r="N1" s="1042"/>
      <c r="O1" s="1043" t="s">
        <v>924</v>
      </c>
    </row>
    <row r="2" spans="1:15">
      <c r="A2" s="1039" t="s">
        <v>925</v>
      </c>
      <c r="N2" s="1042"/>
      <c r="O2" s="1044" t="s">
        <v>926</v>
      </c>
    </row>
    <row r="3" spans="1:15">
      <c r="A3" s="1039" t="s">
        <v>927</v>
      </c>
      <c r="N3" s="1042"/>
      <c r="O3" s="1044" t="s">
        <v>928</v>
      </c>
    </row>
    <row r="4" spans="1:15">
      <c r="A4" s="1039" t="s">
        <v>929</v>
      </c>
      <c r="N4" s="1042"/>
      <c r="O4" s="1043" t="s">
        <v>930</v>
      </c>
    </row>
    <row r="5" spans="1:15">
      <c r="A5" s="1039" t="s">
        <v>931</v>
      </c>
      <c r="N5" s="1042"/>
      <c r="O5" s="1045"/>
    </row>
    <row r="6" spans="1:15">
      <c r="A6" s="1039" t="s">
        <v>825</v>
      </c>
      <c r="N6" s="1042"/>
    </row>
    <row r="7" spans="1:15">
      <c r="A7" s="1162" t="s">
        <v>932</v>
      </c>
      <c r="B7" s="1162"/>
      <c r="C7" s="1162"/>
      <c r="D7" s="1162"/>
      <c r="E7" s="1162"/>
      <c r="F7" s="1162"/>
      <c r="G7" s="1162"/>
      <c r="H7" s="1162"/>
      <c r="I7" s="1162"/>
      <c r="J7" s="1162"/>
      <c r="K7" s="1162"/>
      <c r="L7" s="1162"/>
      <c r="M7" s="1046"/>
      <c r="N7" s="1042"/>
    </row>
    <row r="8" spans="1:15">
      <c r="A8" s="1039"/>
      <c r="N8" s="1042"/>
    </row>
    <row r="9" spans="1:15">
      <c r="A9" s="1047" t="s">
        <v>446</v>
      </c>
      <c r="B9" s="1048" t="s">
        <v>447</v>
      </c>
      <c r="C9" s="1048"/>
      <c r="D9" s="1048" t="s">
        <v>448</v>
      </c>
      <c r="E9" s="1048" t="s">
        <v>449</v>
      </c>
      <c r="F9" s="1048" t="s">
        <v>450</v>
      </c>
      <c r="G9" s="1048"/>
      <c r="H9" s="1048" t="s">
        <v>933</v>
      </c>
      <c r="I9" s="1048"/>
      <c r="J9" s="1048" t="s">
        <v>452</v>
      </c>
      <c r="K9" s="1048"/>
      <c r="L9" s="1048" t="s">
        <v>934</v>
      </c>
      <c r="M9" s="1048" t="s">
        <v>454</v>
      </c>
      <c r="N9" s="1042"/>
      <c r="O9" s="1048" t="s">
        <v>935</v>
      </c>
    </row>
    <row r="10" spans="1:15">
      <c r="A10" s="1049"/>
      <c r="F10" s="1050"/>
      <c r="G10" s="1050"/>
      <c r="H10" s="1050"/>
      <c r="N10" s="1042"/>
    </row>
    <row r="11" spans="1:15" ht="63.75">
      <c r="A11" s="1049" t="s">
        <v>936</v>
      </c>
      <c r="B11" s="1040" t="s">
        <v>937</v>
      </c>
      <c r="D11" s="1051" t="s">
        <v>938</v>
      </c>
      <c r="E11" s="1048" t="s">
        <v>843</v>
      </c>
      <c r="F11" s="1051" t="s">
        <v>939</v>
      </c>
      <c r="G11" s="1051"/>
      <c r="H11" s="1051" t="s">
        <v>940</v>
      </c>
      <c r="J11" s="1051" t="s">
        <v>941</v>
      </c>
      <c r="L11" s="1051" t="s">
        <v>942</v>
      </c>
      <c r="M11" s="1051" t="s">
        <v>943</v>
      </c>
      <c r="N11" s="1042"/>
      <c r="O11" s="1051" t="s">
        <v>944</v>
      </c>
    </row>
    <row r="12" spans="1:15">
      <c r="A12" s="1039"/>
      <c r="D12" s="1042"/>
      <c r="E12" s="1042"/>
      <c r="F12" s="1042"/>
      <c r="G12" s="1042"/>
      <c r="H12" s="1042"/>
      <c r="I12" s="1042"/>
      <c r="J12" s="1042"/>
      <c r="K12" s="1042"/>
      <c r="L12" s="1042"/>
      <c r="M12" s="1042"/>
      <c r="N12" s="1042"/>
    </row>
    <row r="13" spans="1:15">
      <c r="A13" s="1052">
        <v>1</v>
      </c>
      <c r="B13" s="1053" t="s">
        <v>945</v>
      </c>
      <c r="D13" s="1042">
        <v>30979</v>
      </c>
      <c r="E13" s="1042" t="s">
        <v>946</v>
      </c>
      <c r="K13" s="1042"/>
      <c r="L13" s="1042"/>
      <c r="M13" s="1042"/>
      <c r="N13" s="1042"/>
    </row>
    <row r="14" spans="1:15">
      <c r="A14" s="1052">
        <f>+A13+1</f>
        <v>2</v>
      </c>
      <c r="B14" s="1053"/>
      <c r="D14" s="1054">
        <v>16823.240000000002</v>
      </c>
      <c r="E14" s="1042" t="s">
        <v>947</v>
      </c>
      <c r="F14" s="1055"/>
      <c r="G14" s="1056"/>
      <c r="H14" s="1055"/>
      <c r="I14" s="1055"/>
      <c r="J14" s="1055"/>
      <c r="K14" s="1042"/>
      <c r="L14" s="1042"/>
      <c r="M14" s="1042"/>
      <c r="N14" s="1042"/>
    </row>
    <row r="15" spans="1:15">
      <c r="A15" s="1052">
        <f>+A14+1</f>
        <v>3</v>
      </c>
      <c r="B15" s="1053" t="s">
        <v>948</v>
      </c>
      <c r="D15" s="1042">
        <f>+D13-D14</f>
        <v>14155.759999999998</v>
      </c>
      <c r="F15" s="1055">
        <v>4955.3</v>
      </c>
      <c r="G15" s="1056"/>
      <c r="H15" s="1057">
        <f>+F15/D15</f>
        <v>0.35005538381549284</v>
      </c>
      <c r="J15" s="1055">
        <f>-F15</f>
        <v>-4955.3</v>
      </c>
      <c r="K15" s="1055"/>
      <c r="L15" s="1055">
        <f>+F15+J15</f>
        <v>0</v>
      </c>
      <c r="M15" s="1055" t="s">
        <v>859</v>
      </c>
      <c r="N15" s="1042"/>
      <c r="O15" s="1042">
        <f>+D15-L15</f>
        <v>14155.759999999998</v>
      </c>
    </row>
    <row r="16" spans="1:15">
      <c r="A16" s="1039"/>
      <c r="B16" s="1053"/>
      <c r="D16" s="1042"/>
      <c r="E16" s="1042"/>
      <c r="F16" s="1058"/>
      <c r="G16" s="1056"/>
      <c r="J16" s="1055"/>
      <c r="K16" s="1055"/>
      <c r="L16" s="1055"/>
      <c r="M16" s="1055"/>
      <c r="N16" s="1042"/>
      <c r="O16" s="1042"/>
    </row>
    <row r="17" spans="1:15">
      <c r="A17" s="1052">
        <f>+A15+1</f>
        <v>4</v>
      </c>
      <c r="B17" s="1053" t="s">
        <v>949</v>
      </c>
      <c r="D17" s="1042">
        <v>-24138</v>
      </c>
      <c r="E17" s="1042" t="s">
        <v>950</v>
      </c>
      <c r="F17" s="1055">
        <v>-9654.89</v>
      </c>
      <c r="G17" s="1058"/>
      <c r="H17" s="1057">
        <f>+F17/D17</f>
        <v>0.39998715717955091</v>
      </c>
      <c r="J17" s="1055">
        <v>0</v>
      </c>
      <c r="K17" s="1055"/>
      <c r="L17" s="1055">
        <f>+F17+J17</f>
        <v>-9654.89</v>
      </c>
      <c r="M17" s="1055" t="s">
        <v>855</v>
      </c>
      <c r="N17" s="1042"/>
      <c r="O17" s="1042">
        <f>+D17-L17</f>
        <v>-14483.11</v>
      </c>
    </row>
    <row r="18" spans="1:15">
      <c r="A18" s="1052"/>
      <c r="B18" s="1053"/>
      <c r="D18" s="1042"/>
      <c r="E18" s="1042"/>
      <c r="F18" s="1055"/>
      <c r="G18" s="1055"/>
      <c r="J18" s="1055"/>
      <c r="K18" s="1055"/>
      <c r="L18" s="1055"/>
      <c r="M18" s="1055"/>
      <c r="N18" s="1042"/>
      <c r="O18" s="1042"/>
    </row>
    <row r="19" spans="1:15">
      <c r="A19" s="1052">
        <f>+A17+1</f>
        <v>5</v>
      </c>
      <c r="B19" s="1053" t="s">
        <v>951</v>
      </c>
      <c r="D19" s="1042">
        <v>-23866</v>
      </c>
      <c r="E19" s="1042" t="s">
        <v>952</v>
      </c>
      <c r="N19" s="1042"/>
      <c r="O19" s="1042"/>
    </row>
    <row r="20" spans="1:15">
      <c r="A20" s="1052">
        <f>+A19+1</f>
        <v>6</v>
      </c>
      <c r="B20" s="1053"/>
      <c r="D20" s="1054">
        <v>-17978</v>
      </c>
      <c r="E20" s="1042" t="s">
        <v>953</v>
      </c>
      <c r="F20" s="1055"/>
      <c r="G20" s="1059"/>
      <c r="H20" s="1057"/>
      <c r="J20" s="1055"/>
      <c r="K20" s="1055"/>
      <c r="L20" s="1055"/>
      <c r="M20" s="1055"/>
      <c r="N20" s="1042"/>
      <c r="O20" s="1042"/>
    </row>
    <row r="21" spans="1:15">
      <c r="A21" s="1052">
        <f>+A20+1</f>
        <v>7</v>
      </c>
      <c r="B21" s="1053" t="s">
        <v>954</v>
      </c>
      <c r="D21" s="1042">
        <f>+D19-D20</f>
        <v>-5888</v>
      </c>
      <c r="E21" s="1042"/>
      <c r="F21" s="1055">
        <v>-2355.25</v>
      </c>
      <c r="G21" s="1059"/>
      <c r="H21" s="1057">
        <f>+F21/D21</f>
        <v>0.40000849184782611</v>
      </c>
      <c r="J21" s="1055">
        <f>-J15-J17</f>
        <v>4955.3</v>
      </c>
      <c r="K21" s="1055"/>
      <c r="L21" s="1055">
        <f>+F21+J21</f>
        <v>2600.0500000000002</v>
      </c>
      <c r="M21" s="1055" t="s">
        <v>859</v>
      </c>
      <c r="N21" s="1042"/>
      <c r="O21" s="1042">
        <f>+D21-L21</f>
        <v>-8488.0499999999993</v>
      </c>
    </row>
    <row r="22" spans="1:15">
      <c r="A22" s="1039"/>
      <c r="D22" s="1042"/>
      <c r="E22" s="1042"/>
      <c r="F22" s="1055"/>
      <c r="G22" s="1060"/>
      <c r="J22" s="1055"/>
      <c r="K22" s="1055"/>
      <c r="L22" s="1055"/>
      <c r="M22" s="1055"/>
      <c r="N22" s="1042"/>
    </row>
    <row r="23" spans="1:15">
      <c r="A23" s="1052">
        <f>+A21+1</f>
        <v>8</v>
      </c>
      <c r="B23" s="1040" t="s">
        <v>418</v>
      </c>
      <c r="D23" s="1061">
        <f>+D15+D17+D21</f>
        <v>-15870.240000000002</v>
      </c>
      <c r="E23" s="1042"/>
      <c r="F23" s="1061">
        <f>SUM(F14:F21)</f>
        <v>-7054.8399999999992</v>
      </c>
      <c r="J23" s="1061">
        <f>+J15+J17+J21</f>
        <v>0</v>
      </c>
      <c r="K23" s="1042"/>
      <c r="L23" s="1061">
        <f>+L15+L17+L21</f>
        <v>-7054.8399999999992</v>
      </c>
      <c r="M23" s="1062"/>
      <c r="N23" s="1042"/>
      <c r="O23" s="1061">
        <f>+O15+O17+O21</f>
        <v>-8815.4000000000015</v>
      </c>
    </row>
    <row r="24" spans="1:15">
      <c r="A24" s="1039"/>
      <c r="D24" s="1042"/>
      <c r="E24" s="1063"/>
      <c r="F24" s="1057"/>
      <c r="G24" s="1042"/>
      <c r="H24" s="1042"/>
      <c r="I24" s="1042"/>
      <c r="J24" s="1042"/>
      <c r="K24" s="1042"/>
      <c r="L24" s="1042"/>
      <c r="M24" s="1042"/>
      <c r="N24" s="1042"/>
    </row>
    <row r="25" spans="1:15">
      <c r="A25" s="1039"/>
      <c r="D25" s="1042"/>
      <c r="E25" s="1063"/>
      <c r="F25" s="1057"/>
      <c r="G25" s="1042"/>
      <c r="H25" s="1042"/>
      <c r="I25" s="1042"/>
      <c r="J25" s="1042"/>
      <c r="K25" s="1042"/>
      <c r="L25" s="1042"/>
      <c r="M25" s="1042"/>
      <c r="N25" s="1042"/>
    </row>
    <row r="26" spans="1:15">
      <c r="A26" s="1163" t="s">
        <v>955</v>
      </c>
      <c r="B26" s="1163"/>
      <c r="C26" s="1163"/>
      <c r="D26" s="1163"/>
      <c r="E26" s="1163"/>
      <c r="F26" s="1163"/>
      <c r="G26" s="1163"/>
      <c r="H26" s="1163"/>
      <c r="I26" s="1163"/>
      <c r="J26" s="1064"/>
      <c r="K26" s="1064"/>
      <c r="L26" s="1042"/>
      <c r="M26" s="1042"/>
      <c r="N26" s="1042"/>
    </row>
    <row r="27" spans="1:15">
      <c r="A27" s="1163"/>
      <c r="B27" s="1163"/>
      <c r="C27" s="1163"/>
      <c r="D27" s="1163"/>
      <c r="E27" s="1163"/>
      <c r="F27" s="1163"/>
      <c r="G27" s="1163"/>
      <c r="H27" s="1163"/>
      <c r="I27" s="1163"/>
      <c r="J27" s="1064"/>
      <c r="K27" s="1064"/>
      <c r="L27" s="1042"/>
      <c r="M27" s="1042"/>
      <c r="N27" s="1042"/>
    </row>
    <row r="28" spans="1:15">
      <c r="A28" s="1163"/>
      <c r="B28" s="1163"/>
      <c r="C28" s="1163"/>
      <c r="D28" s="1163"/>
      <c r="E28" s="1163"/>
      <c r="F28" s="1163"/>
      <c r="G28" s="1163"/>
      <c r="H28" s="1163"/>
      <c r="I28" s="1163"/>
      <c r="J28" s="1064"/>
      <c r="K28" s="1064"/>
      <c r="L28" s="1042"/>
      <c r="M28" s="1042"/>
      <c r="N28" s="1042"/>
    </row>
    <row r="29" spans="1:15">
      <c r="A29" s="1065"/>
      <c r="B29" s="1065"/>
      <c r="C29" s="1065"/>
      <c r="D29" s="1065"/>
      <c r="E29" s="1065"/>
      <c r="F29" s="1065"/>
      <c r="G29" s="1065"/>
      <c r="H29" s="1065"/>
      <c r="I29" s="1065"/>
      <c r="J29" s="1064"/>
      <c r="K29" s="1064"/>
      <c r="L29" s="1042"/>
      <c r="M29" s="1042"/>
      <c r="N29" s="1042"/>
    </row>
    <row r="30" spans="1:15" ht="12.75" customHeight="1">
      <c r="A30" s="1066" t="s">
        <v>956</v>
      </c>
      <c r="B30" s="1164" t="s">
        <v>957</v>
      </c>
      <c r="C30" s="1164"/>
      <c r="D30" s="1164"/>
      <c r="E30" s="1164"/>
      <c r="F30" s="1164"/>
      <c r="G30" s="1164"/>
      <c r="H30" s="1164"/>
      <c r="I30" s="1164"/>
      <c r="J30" s="1164"/>
      <c r="K30" s="1164"/>
      <c r="L30" s="1164"/>
      <c r="M30" s="1164"/>
      <c r="N30" s="1164"/>
      <c r="O30" s="1164"/>
    </row>
    <row r="31" spans="1:15">
      <c r="A31" s="1066"/>
      <c r="B31" s="1164"/>
      <c r="C31" s="1164"/>
      <c r="D31" s="1164"/>
      <c r="E31" s="1164"/>
      <c r="F31" s="1164"/>
      <c r="G31" s="1164"/>
      <c r="H31" s="1164"/>
      <c r="I31" s="1164"/>
      <c r="J31" s="1164"/>
      <c r="K31" s="1164"/>
      <c r="L31" s="1164"/>
      <c r="M31" s="1164"/>
      <c r="N31" s="1164"/>
      <c r="O31" s="1164"/>
    </row>
    <row r="32" spans="1:15">
      <c r="A32" s="1066"/>
      <c r="B32" s="1164"/>
      <c r="C32" s="1164"/>
      <c r="D32" s="1164"/>
      <c r="E32" s="1164"/>
      <c r="F32" s="1164"/>
      <c r="G32" s="1164"/>
      <c r="H32" s="1164"/>
      <c r="I32" s="1164"/>
      <c r="J32" s="1164"/>
      <c r="K32" s="1164"/>
      <c r="L32" s="1164"/>
      <c r="M32" s="1164"/>
      <c r="N32" s="1164"/>
      <c r="O32" s="1164"/>
    </row>
    <row r="33" spans="1:15">
      <c r="A33" s="1067"/>
      <c r="B33" s="1068"/>
      <c r="C33" s="1068"/>
      <c r="D33" s="1068"/>
      <c r="E33" s="1068"/>
      <c r="F33" s="1068"/>
      <c r="G33" s="1068"/>
      <c r="H33" s="1068"/>
      <c r="I33" s="1068"/>
      <c r="J33" s="1068"/>
      <c r="K33" s="1068"/>
      <c r="N33" s="1042"/>
    </row>
    <row r="34" spans="1:15" ht="12.75" customHeight="1">
      <c r="A34" s="1049" t="s">
        <v>958</v>
      </c>
      <c r="B34" s="1165" t="s">
        <v>959</v>
      </c>
      <c r="C34" s="1165"/>
      <c r="D34" s="1165"/>
      <c r="E34" s="1165"/>
      <c r="F34" s="1165"/>
      <c r="G34" s="1165"/>
      <c r="H34" s="1165"/>
      <c r="I34" s="1165"/>
      <c r="J34" s="1165"/>
      <c r="K34" s="1165"/>
      <c r="L34" s="1165"/>
      <c r="M34" s="1165"/>
      <c r="N34" s="1042"/>
    </row>
    <row r="35" spans="1:15">
      <c r="A35" s="1049"/>
      <c r="B35" s="1165"/>
      <c r="C35" s="1165"/>
      <c r="D35" s="1165"/>
      <c r="E35" s="1165"/>
      <c r="F35" s="1165"/>
      <c r="G35" s="1165"/>
      <c r="H35" s="1165"/>
      <c r="I35" s="1165"/>
      <c r="J35" s="1165"/>
      <c r="K35" s="1165"/>
      <c r="L35" s="1165"/>
      <c r="M35" s="1165"/>
      <c r="N35" s="1042"/>
    </row>
    <row r="36" spans="1:15">
      <c r="A36" s="1049"/>
      <c r="N36" s="1042"/>
    </row>
    <row r="37" spans="1:15" ht="12.75" customHeight="1">
      <c r="A37" s="1049" t="s">
        <v>960</v>
      </c>
      <c r="B37" s="1165" t="s">
        <v>961</v>
      </c>
      <c r="C37" s="1165"/>
      <c r="D37" s="1165"/>
      <c r="E37" s="1165"/>
      <c r="F37" s="1165"/>
      <c r="G37" s="1165"/>
      <c r="H37" s="1165"/>
      <c r="I37" s="1165"/>
      <c r="J37" s="1165"/>
      <c r="K37" s="1165"/>
      <c r="N37" s="1042"/>
    </row>
    <row r="38" spans="1:15">
      <c r="A38" s="1049"/>
      <c r="B38" s="1165"/>
      <c r="C38" s="1165"/>
      <c r="D38" s="1165"/>
      <c r="E38" s="1165"/>
      <c r="F38" s="1165"/>
      <c r="G38" s="1165"/>
      <c r="H38" s="1165"/>
      <c r="I38" s="1165"/>
      <c r="J38" s="1165"/>
      <c r="K38" s="1165"/>
      <c r="N38" s="1042"/>
    </row>
    <row r="40" spans="1:15" ht="12.75" customHeight="1">
      <c r="A40" s="1049" t="s">
        <v>962</v>
      </c>
      <c r="B40" s="1161" t="s">
        <v>963</v>
      </c>
      <c r="C40" s="1161"/>
      <c r="D40" s="1161"/>
      <c r="E40" s="1161"/>
      <c r="F40" s="1161"/>
      <c r="G40" s="1161"/>
      <c r="H40" s="1161"/>
      <c r="I40" s="1161"/>
      <c r="J40" s="1161"/>
      <c r="K40" s="1161"/>
      <c r="L40" s="1161"/>
      <c r="M40" s="1161"/>
      <c r="N40" s="1161"/>
      <c r="O40" s="1161"/>
    </row>
    <row r="41" spans="1:15">
      <c r="A41" s="1049"/>
      <c r="B41" s="1049"/>
      <c r="C41" s="1049"/>
      <c r="D41" s="1049"/>
      <c r="E41" s="1049"/>
      <c r="F41" s="1049"/>
      <c r="G41" s="1049"/>
      <c r="H41" s="1049"/>
    </row>
    <row r="42" spans="1:15">
      <c r="O42" s="1042"/>
    </row>
  </sheetData>
  <mergeCells count="6">
    <mergeCell ref="B40:O40"/>
    <mergeCell ref="A7:L7"/>
    <mergeCell ref="A26:I28"/>
    <mergeCell ref="B30:O32"/>
    <mergeCell ref="B34:M35"/>
    <mergeCell ref="B37:K3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107"/>
  <sheetViews>
    <sheetView view="pageBreakPreview" zoomScale="85" zoomScaleNormal="75" zoomScaleSheetLayoutView="85" workbookViewId="0">
      <selection activeCell="A19" sqref="A19:M19"/>
    </sheetView>
  </sheetViews>
  <sheetFormatPr defaultColWidth="11.42578125" defaultRowHeight="12.75"/>
  <cols>
    <col min="1" max="1" width="8.140625" style="296" customWidth="1"/>
    <col min="2" max="2" width="12.140625" style="295" customWidth="1"/>
    <col min="3" max="3" width="41.7109375" style="295" customWidth="1"/>
    <col min="4" max="4" width="30" style="295" customWidth="1"/>
    <col min="5" max="5" width="22.140625" style="295" customWidth="1"/>
    <col min="6" max="6" width="1" style="295" customWidth="1"/>
    <col min="7" max="7" width="20.85546875" style="295" customWidth="1"/>
    <col min="8" max="8" width="1" style="295" customWidth="1"/>
    <col min="9" max="9" width="19.140625" style="295" customWidth="1"/>
    <col min="10" max="10" width="16.7109375" style="295" customWidth="1"/>
    <col min="11" max="11" width="15.28515625" style="295" customWidth="1"/>
    <col min="12" max="12" width="34" style="295" customWidth="1"/>
    <col min="13" max="13" width="21.28515625" style="295" customWidth="1"/>
    <col min="14" max="14" width="13.42578125" style="295" customWidth="1"/>
    <col min="15" max="15" width="13.7109375" style="295" customWidth="1"/>
    <col min="16" max="16384" width="11.42578125" style="295"/>
  </cols>
  <sheetData>
    <row r="1" spans="1:15" ht="15.75">
      <c r="A1" s="696" t="s">
        <v>414</v>
      </c>
    </row>
    <row r="2" spans="1:15" ht="15.75">
      <c r="A2" s="696" t="s">
        <v>414</v>
      </c>
    </row>
    <row r="3" spans="1:15" ht="15">
      <c r="A3" s="1141" t="str">
        <f>TCOS!$F$5</f>
        <v>AEPTCo subsidiaries in PJM</v>
      </c>
      <c r="B3" s="1141" t="str">
        <f>TCOS!$F$5</f>
        <v>AEPTCo subsidiaries in PJM</v>
      </c>
      <c r="C3" s="1141" t="str">
        <f>TCOS!$F$5</f>
        <v>AEPTCo subsidiaries in PJM</v>
      </c>
      <c r="D3" s="1141" t="str">
        <f>TCOS!$F$5</f>
        <v>AEPTCo subsidiaries in PJM</v>
      </c>
      <c r="E3" s="1141" t="str">
        <f>TCOS!$F$5</f>
        <v>AEPTCo subsidiaries in PJM</v>
      </c>
      <c r="F3" s="1141" t="str">
        <f>TCOS!$F$5</f>
        <v>AEPTCo subsidiaries in PJM</v>
      </c>
      <c r="G3" s="1141" t="str">
        <f>TCOS!$F$5</f>
        <v>AEPTCo subsidiaries in PJM</v>
      </c>
      <c r="H3" s="1141" t="str">
        <f>TCOS!$F$5</f>
        <v>AEPTCo subsidiaries in PJM</v>
      </c>
      <c r="I3" s="1141" t="str">
        <f>TCOS!$F$5</f>
        <v>AEPTCo subsidiaries in PJM</v>
      </c>
      <c r="J3" s="1141" t="str">
        <f>TCOS!$F$5</f>
        <v>AEPTCo subsidiaries in PJM</v>
      </c>
      <c r="K3" s="1141" t="str">
        <f>TCOS!$F$5</f>
        <v>AEPTCo subsidiaries in PJM</v>
      </c>
      <c r="L3" s="1141" t="str">
        <f>TCOS!$F$5</f>
        <v>AEPTCo subsidiaries in PJM</v>
      </c>
      <c r="M3" s="17"/>
      <c r="N3" s="17"/>
      <c r="O3" s="17"/>
    </row>
    <row r="4" spans="1:15" ht="15">
      <c r="A4" s="1142" t="str">
        <f>"Cost of Service Formula Rate Using Actual/Projected FF1 Balances"</f>
        <v>Cost of Service Formula Rate Using Actual/Projected FF1 Balances</v>
      </c>
      <c r="B4" s="1142"/>
      <c r="C4" s="1142"/>
      <c r="D4" s="1142"/>
      <c r="E4" s="1142"/>
      <c r="F4" s="1142"/>
      <c r="G4" s="1142"/>
      <c r="H4" s="1142"/>
      <c r="I4" s="1142"/>
      <c r="J4" s="1142"/>
      <c r="K4" s="1142"/>
      <c r="L4" s="1142"/>
      <c r="M4" s="45"/>
      <c r="N4" s="45"/>
      <c r="O4" s="45"/>
    </row>
    <row r="5" spans="1:15" ht="15">
      <c r="A5" s="1142" t="s">
        <v>291</v>
      </c>
      <c r="B5" s="1142"/>
      <c r="C5" s="1142"/>
      <c r="D5" s="1142"/>
      <c r="E5" s="1142"/>
      <c r="F5" s="1142"/>
      <c r="G5" s="1142"/>
      <c r="H5" s="1142"/>
      <c r="I5" s="1142"/>
      <c r="J5" s="1142"/>
      <c r="K5" s="1142"/>
      <c r="L5" s="1142"/>
      <c r="M5" s="44"/>
      <c r="N5" s="44"/>
      <c r="O5" s="44"/>
    </row>
    <row r="6" spans="1:15" ht="15">
      <c r="A6" s="1152" t="str">
        <f>TCOS!F9</f>
        <v>AEP Kentucky Transmission Company</v>
      </c>
      <c r="B6" s="1152"/>
      <c r="C6" s="1152"/>
      <c r="D6" s="1152"/>
      <c r="E6" s="1152"/>
      <c r="F6" s="1152"/>
      <c r="G6" s="1152"/>
      <c r="H6" s="1152"/>
      <c r="I6" s="1152"/>
      <c r="J6" s="1152"/>
      <c r="K6" s="1152"/>
      <c r="L6" s="1152"/>
      <c r="M6" s="2"/>
      <c r="N6" s="2"/>
      <c r="O6" s="2"/>
    </row>
    <row r="7" spans="1:15" ht="15">
      <c r="A7" s="2"/>
      <c r="B7" s="2"/>
      <c r="C7" s="2"/>
      <c r="D7" s="2"/>
      <c r="E7" s="2"/>
      <c r="F7" s="2"/>
      <c r="G7" s="2"/>
      <c r="H7"/>
    </row>
    <row r="8" spans="1:15" ht="12.75" customHeight="1">
      <c r="A8" s="306"/>
      <c r="B8" s="306" t="s">
        <v>460</v>
      </c>
      <c r="C8" s="306" t="s">
        <v>461</v>
      </c>
      <c r="D8" s="306" t="s">
        <v>331</v>
      </c>
      <c r="E8" s="306" t="s">
        <v>463</v>
      </c>
      <c r="F8" s="306"/>
      <c r="G8" s="306" t="s">
        <v>383</v>
      </c>
      <c r="H8" s="306"/>
      <c r="I8" s="306" t="s">
        <v>384</v>
      </c>
      <c r="J8" s="306" t="s">
        <v>385</v>
      </c>
      <c r="K8" s="306" t="s">
        <v>390</v>
      </c>
      <c r="L8" s="306" t="s">
        <v>296</v>
      </c>
      <c r="M8" s="306"/>
      <c r="N8" s="306"/>
      <c r="O8" s="306"/>
    </row>
    <row r="9" spans="1:15">
      <c r="A9" s="304"/>
    </row>
    <row r="10" spans="1:15" ht="18">
      <c r="A10" s="299"/>
      <c r="B10" s="1166" t="s">
        <v>497</v>
      </c>
      <c r="C10" s="1166"/>
      <c r="D10" s="1166"/>
      <c r="E10" s="1166"/>
      <c r="F10" s="1166"/>
      <c r="G10" s="1166"/>
      <c r="H10" s="1166"/>
      <c r="I10" s="1166"/>
      <c r="J10" s="1166"/>
      <c r="K10" s="1166"/>
    </row>
    <row r="11" spans="1:15">
      <c r="A11" s="299"/>
      <c r="I11"/>
      <c r="J11"/>
    </row>
    <row r="12" spans="1:15" ht="12.75" customHeight="1">
      <c r="A12" s="297" t="s">
        <v>467</v>
      </c>
      <c r="B12" s="299"/>
      <c r="C12" s="307"/>
      <c r="D12" s="308"/>
      <c r="E12" s="1169" t="str">
        <f>"Balance @ December 31, "&amp;TCOS!L4&amp;""</f>
        <v>Balance @ December 31, 2026</v>
      </c>
      <c r="F12" s="308"/>
      <c r="G12" s="1169" t="str">
        <f>"Balance @ December 31, "&amp;TCOS!L4-1&amp;""</f>
        <v>Balance @ December 31, 2025</v>
      </c>
      <c r="H12" s="309"/>
      <c r="I12" s="1171" t="str">
        <f>"Average Balance for "&amp;TCOS!L4&amp;""</f>
        <v>Average Balance for 2026</v>
      </c>
      <c r="J12" s="3"/>
      <c r="L12" s="306"/>
    </row>
    <row r="13" spans="1:15">
      <c r="A13" s="297" t="s">
        <v>405</v>
      </c>
      <c r="B13" s="296"/>
      <c r="C13" s="299"/>
      <c r="D13" s="310" t="s">
        <v>496</v>
      </c>
      <c r="E13" s="1170"/>
      <c r="F13" s="311"/>
      <c r="G13" s="1170"/>
      <c r="H13" s="312"/>
      <c r="I13" s="1170"/>
      <c r="J13" s="3"/>
      <c r="K13" s="313"/>
      <c r="L13" s="314"/>
      <c r="M13" s="298"/>
      <c r="N13" s="298"/>
    </row>
    <row r="14" spans="1:15">
      <c r="B14" s="296"/>
      <c r="C14" s="299"/>
      <c r="D14" s="315"/>
      <c r="E14" s="303"/>
      <c r="F14" s="303"/>
      <c r="G14" s="316"/>
      <c r="H14" s="302"/>
      <c r="J14"/>
      <c r="K14" s="313"/>
      <c r="L14" s="314"/>
      <c r="M14" s="298"/>
      <c r="N14" s="298"/>
    </row>
    <row r="15" spans="1:15">
      <c r="A15" s="296">
        <v>1</v>
      </c>
      <c r="B15" s="296"/>
      <c r="D15" s="36"/>
      <c r="E15" s="7"/>
      <c r="F15" s="303"/>
      <c r="G15" s="7"/>
      <c r="H15" s="7"/>
      <c r="I15" s="7"/>
      <c r="K15" s="7"/>
      <c r="L15" s="7"/>
      <c r="M15" s="298"/>
      <c r="N15" s="298"/>
    </row>
    <row r="16" spans="1:15">
      <c r="B16" s="296"/>
      <c r="C16" s="36"/>
      <c r="D16" s="36"/>
      <c r="E16" s="7"/>
      <c r="F16" s="303"/>
      <c r="G16" s="7"/>
      <c r="H16" s="7"/>
      <c r="I16" s="7"/>
      <c r="K16" s="7"/>
      <c r="L16" s="7"/>
      <c r="M16" s="298"/>
      <c r="N16" s="298"/>
    </row>
    <row r="17" spans="1:14">
      <c r="A17" s="296">
        <f>+A15+1</f>
        <v>2</v>
      </c>
      <c r="B17" s="296"/>
      <c r="C17" s="36" t="s">
        <v>324</v>
      </c>
      <c r="D17" s="300" t="s">
        <v>218</v>
      </c>
      <c r="E17" s="1019">
        <v>0</v>
      </c>
      <c r="F17" s="303"/>
      <c r="G17" s="1019">
        <v>0</v>
      </c>
      <c r="H17" s="7"/>
      <c r="I17" s="301">
        <f>IF(G17="",0,(E17+G17)/2)</f>
        <v>0</v>
      </c>
      <c r="J17"/>
      <c r="K17" s="301"/>
      <c r="L17" s="7"/>
      <c r="M17" s="298"/>
      <c r="N17" s="298"/>
    </row>
    <row r="18" spans="1:14">
      <c r="B18" s="296"/>
      <c r="C18" s="36"/>
      <c r="D18"/>
      <c r="E18"/>
      <c r="F18"/>
      <c r="G18"/>
      <c r="H18"/>
      <c r="I18" s="3"/>
      <c r="J18"/>
      <c r="K18"/>
      <c r="L18" s="7"/>
      <c r="M18" s="298"/>
      <c r="N18" s="298"/>
    </row>
    <row r="19" spans="1:14">
      <c r="B19" s="296"/>
      <c r="C19" s="36"/>
      <c r="D19" s="300"/>
      <c r="E19" s="1019"/>
      <c r="F19" s="303"/>
      <c r="G19" s="1019"/>
      <c r="H19" s="7"/>
      <c r="I19" s="301"/>
      <c r="J19"/>
      <c r="K19"/>
      <c r="L19" s="7"/>
      <c r="M19" s="298"/>
      <c r="N19" s="298"/>
    </row>
    <row r="20" spans="1:14">
      <c r="A20" s="1074"/>
      <c r="B20" s="1074"/>
      <c r="C20" s="1075"/>
      <c r="D20"/>
      <c r="E20"/>
      <c r="F20"/>
      <c r="G20"/>
      <c r="H20"/>
      <c r="I20" s="98"/>
      <c r="J20"/>
      <c r="K20"/>
      <c r="L20" s="7"/>
      <c r="M20" s="298"/>
      <c r="N20" s="298"/>
    </row>
    <row r="21" spans="1:14">
      <c r="A21" s="296">
        <f>+A17+1</f>
        <v>3</v>
      </c>
      <c r="B21" s="296"/>
      <c r="C21" s="36" t="s">
        <v>325</v>
      </c>
      <c r="D21" s="300" t="s">
        <v>219</v>
      </c>
      <c r="E21" s="351"/>
      <c r="F21" s="303"/>
      <c r="G21" s="351"/>
      <c r="H21" s="302"/>
      <c r="I21" s="301">
        <f>IF(G21="",0,(E21+G21)/2)</f>
        <v>0</v>
      </c>
      <c r="J21"/>
      <c r="K21" s="313"/>
      <c r="L21" s="314"/>
      <c r="M21" s="298"/>
      <c r="N21" s="298"/>
    </row>
    <row r="22" spans="1:14">
      <c r="B22" s="296"/>
      <c r="C22" s="36"/>
      <c r="D22" s="300"/>
      <c r="E22"/>
      <c r="F22"/>
      <c r="G22"/>
      <c r="H22"/>
      <c r="I22"/>
      <c r="J22"/>
      <c r="K22" s="313"/>
      <c r="L22" s="314"/>
      <c r="M22" s="298"/>
      <c r="N22" s="298"/>
    </row>
    <row r="23" spans="1:14">
      <c r="A23" s="296">
        <f>+A21+1</f>
        <v>4</v>
      </c>
      <c r="B23" s="296"/>
      <c r="C23" s="36" t="s">
        <v>765</v>
      </c>
      <c r="D23" s="300" t="s">
        <v>220</v>
      </c>
      <c r="E23" s="351"/>
      <c r="F23" s="303"/>
      <c r="G23" s="351"/>
      <c r="H23" s="302"/>
      <c r="I23" s="301">
        <f>IF(G23="",0,(E23+G23)/2)</f>
        <v>0</v>
      </c>
      <c r="J23"/>
      <c r="K23" s="313"/>
      <c r="L23" s="314"/>
      <c r="M23" s="298"/>
      <c r="N23" s="298"/>
    </row>
    <row r="24" spans="1:14">
      <c r="B24" s="296"/>
      <c r="C24" s="299"/>
      <c r="D24" s="315"/>
      <c r="E24" s="303"/>
      <c r="F24" s="303"/>
      <c r="H24" s="302"/>
      <c r="J24"/>
      <c r="K24" s="313"/>
      <c r="L24" s="314"/>
      <c r="M24" s="298"/>
      <c r="N24" s="298"/>
    </row>
    <row r="25" spans="1:14">
      <c r="A25" s="317"/>
      <c r="B25" s="317"/>
      <c r="C25" s="318"/>
      <c r="D25" s="319"/>
      <c r="E25" s="320"/>
      <c r="F25" s="320"/>
      <c r="G25" s="321"/>
      <c r="H25" s="322"/>
      <c r="I25" s="321"/>
      <c r="J25" s="323"/>
      <c r="K25" s="324"/>
      <c r="L25" s="325"/>
      <c r="M25" s="298"/>
      <c r="N25" s="298"/>
    </row>
    <row r="26" spans="1:14" ht="18">
      <c r="B26" s="1166" t="s">
        <v>766</v>
      </c>
      <c r="C26" s="1166"/>
      <c r="D26" s="1166"/>
      <c r="E26" s="1166"/>
      <c r="F26" s="1166"/>
      <c r="G26" s="1166"/>
      <c r="H26" s="1166"/>
      <c r="I26" s="1166"/>
      <c r="J26" s="1166"/>
      <c r="K26" s="1166"/>
      <c r="L26" s="314"/>
      <c r="M26" s="298"/>
      <c r="N26" s="298"/>
    </row>
    <row r="27" spans="1:14" ht="12.75" customHeight="1">
      <c r="B27" s="326"/>
      <c r="C27" s="299"/>
      <c r="D27" s="7"/>
      <c r="E27" s="327"/>
      <c r="G27" s="327" t="s">
        <v>386</v>
      </c>
      <c r="I27" s="4" t="s">
        <v>415</v>
      </c>
      <c r="J27" s="4" t="s">
        <v>415</v>
      </c>
      <c r="K27" s="4" t="s">
        <v>477</v>
      </c>
      <c r="L27" s="314"/>
      <c r="M27" s="298"/>
      <c r="N27" s="298"/>
    </row>
    <row r="28" spans="1:14" ht="12.75" customHeight="1">
      <c r="B28" s="326"/>
      <c r="C28" s="299"/>
      <c r="D28" s="328" t="s">
        <v>297</v>
      </c>
      <c r="E28" s="4" t="s">
        <v>327</v>
      </c>
      <c r="G28" s="4" t="s">
        <v>415</v>
      </c>
      <c r="I28" s="4" t="s">
        <v>317</v>
      </c>
      <c r="J28" s="4" t="s">
        <v>459</v>
      </c>
      <c r="K28" s="4" t="s">
        <v>478</v>
      </c>
      <c r="L28" s="314"/>
      <c r="M28" s="298"/>
      <c r="N28" s="298"/>
    </row>
    <row r="29" spans="1:14" ht="12.75" customHeight="1">
      <c r="A29" s="296">
        <f>+A23+1</f>
        <v>5</v>
      </c>
      <c r="B29" s="326"/>
      <c r="C29" s="299"/>
      <c r="D29" s="297" t="s">
        <v>387</v>
      </c>
      <c r="E29" s="297" t="s">
        <v>298</v>
      </c>
      <c r="G29" s="297" t="s">
        <v>318</v>
      </c>
      <c r="I29" s="297" t="s">
        <v>318</v>
      </c>
      <c r="J29" s="297" t="s">
        <v>318</v>
      </c>
      <c r="K29" s="297" t="s">
        <v>319</v>
      </c>
      <c r="L29" s="314"/>
      <c r="M29" s="298"/>
      <c r="N29" s="298"/>
    </row>
    <row r="30" spans="1:14">
      <c r="B30" s="296"/>
      <c r="C30" s="299"/>
      <c r="D30" s="315"/>
      <c r="E30" s="303"/>
      <c r="F30" s="303"/>
      <c r="H30" s="302"/>
      <c r="J30"/>
      <c r="K30" s="329"/>
      <c r="L30" s="314"/>
      <c r="M30" s="298"/>
      <c r="N30" s="298"/>
    </row>
    <row r="31" spans="1:14">
      <c r="A31" s="296">
        <f>+A29+1</f>
        <v>6</v>
      </c>
      <c r="B31" s="296"/>
      <c r="C31" s="295" t="str">
        <f>"Totals as of December 31, "&amp;TCOS!L4&amp;""</f>
        <v>Totals as of December 31, 2026</v>
      </c>
      <c r="D31" s="330">
        <f>ROUND(D57,0)</f>
        <v>18526</v>
      </c>
      <c r="E31" s="331">
        <f>ROUND(E57,0)</f>
        <v>0</v>
      </c>
      <c r="F31" s="332"/>
      <c r="G31" s="330">
        <f>ROUND(G57,0)</f>
        <v>0</v>
      </c>
      <c r="H31" s="302"/>
      <c r="I31" s="330">
        <f>ROUND(I57,0)</f>
        <v>18526</v>
      </c>
      <c r="J31" s="333">
        <f>+J57</f>
        <v>0</v>
      </c>
      <c r="K31" s="330">
        <f>ROUND(K57,0)</f>
        <v>18526</v>
      </c>
      <c r="L31" s="314"/>
      <c r="M31" s="298"/>
      <c r="N31" s="298"/>
    </row>
    <row r="32" spans="1:14">
      <c r="A32" s="296">
        <f>+A31+1</f>
        <v>7</v>
      </c>
      <c r="B32" s="296"/>
      <c r="C32" s="295" t="str">
        <f>"Totals as of December 31, "&amp;(TCOS!L4-1)&amp;""</f>
        <v>Totals as of December 31, 2025</v>
      </c>
      <c r="D32" s="334">
        <f>ROUND(D81,0)</f>
        <v>18526</v>
      </c>
      <c r="E32" s="335">
        <f>ROUND(E81,0)</f>
        <v>0</v>
      </c>
      <c r="F32" s="303"/>
      <c r="G32" s="334">
        <f>ROUND(G81,0)</f>
        <v>0</v>
      </c>
      <c r="H32" s="302"/>
      <c r="I32" s="334">
        <f>ROUND(I81,0)</f>
        <v>18526</v>
      </c>
      <c r="J32" s="334">
        <f>+J81</f>
        <v>0</v>
      </c>
      <c r="K32" s="334">
        <f>ROUND(K81,0)</f>
        <v>18526</v>
      </c>
      <c r="L32" s="314"/>
      <c r="M32" s="298"/>
      <c r="N32" s="298"/>
    </row>
    <row r="33" spans="1:14" ht="13.5" thickBot="1">
      <c r="A33" s="296">
        <f>+A32+1</f>
        <v>8</v>
      </c>
      <c r="B33" s="296"/>
      <c r="C33" s="307" t="s">
        <v>503</v>
      </c>
      <c r="D33" s="336">
        <f>IF(D32="",0,(D31+D32)/2)</f>
        <v>18526</v>
      </c>
      <c r="E33" s="336">
        <f>IF(E32="",0,(E31+E32)/2)</f>
        <v>0</v>
      </c>
      <c r="F33" s="337"/>
      <c r="G33" s="336">
        <f>IF(G32="",0,(G31+G32)/2)</f>
        <v>0</v>
      </c>
      <c r="H33" s="338"/>
      <c r="I33" s="336">
        <f>IF(I32="",0,(I31+I32)/2)</f>
        <v>18526</v>
      </c>
      <c r="J33" s="336">
        <f>IF(J32="",0,(J31+J32)/2)</f>
        <v>0</v>
      </c>
      <c r="K33" s="336">
        <f>IF(K32="",0,(K31+K32)/2)</f>
        <v>18526</v>
      </c>
      <c r="L33" s="314"/>
      <c r="M33" s="298"/>
      <c r="N33" s="298"/>
    </row>
    <row r="34" spans="1:14" ht="13.5" thickTop="1">
      <c r="B34" s="296"/>
      <c r="D34" s="315"/>
      <c r="E34" s="303"/>
      <c r="F34" s="303"/>
      <c r="H34" s="302"/>
      <c r="J34"/>
      <c r="K34" s="313"/>
      <c r="L34" s="314"/>
      <c r="M34" s="298"/>
      <c r="N34" s="298"/>
    </row>
    <row r="35" spans="1:14">
      <c r="A35" s="295"/>
      <c r="J35"/>
      <c r="K35" s="313"/>
      <c r="L35" s="314"/>
      <c r="M35" s="298"/>
      <c r="N35" s="298"/>
    </row>
    <row r="36" spans="1:14" ht="18">
      <c r="B36" s="1168" t="str">
        <f>"Prepayments Account 165 - Balance @ 12/31/"&amp;D38&amp;""</f>
        <v>Prepayments Account 165 - Balance @ 12/31/2026</v>
      </c>
      <c r="C36" s="1172"/>
      <c r="D36" s="1172"/>
      <c r="E36" s="1172"/>
      <c r="F36" s="1172"/>
      <c r="G36" s="1172"/>
      <c r="H36" s="1172"/>
      <c r="I36" s="1172"/>
      <c r="J36" s="1172"/>
      <c r="K36" s="313"/>
      <c r="L36" s="314"/>
      <c r="M36" s="298"/>
      <c r="N36" s="298"/>
    </row>
    <row r="37" spans="1:14">
      <c r="B37" s="75"/>
      <c r="C37" s="76"/>
      <c r="D37" s="7"/>
      <c r="E37" s="327"/>
      <c r="G37" s="327" t="s">
        <v>386</v>
      </c>
      <c r="I37" s="4" t="s">
        <v>415</v>
      </c>
      <c r="J37" s="4" t="s">
        <v>415</v>
      </c>
      <c r="K37" s="4" t="s">
        <v>477</v>
      </c>
      <c r="L37"/>
      <c r="M37" s="298"/>
      <c r="N37" s="298"/>
    </row>
    <row r="38" spans="1:14">
      <c r="B38" s="75"/>
      <c r="C38" s="339"/>
      <c r="D38" s="328" t="str">
        <f>""&amp;TCOS!L4</f>
        <v>2026</v>
      </c>
      <c r="E38" s="4" t="s">
        <v>327</v>
      </c>
      <c r="G38" s="4" t="s">
        <v>415</v>
      </c>
      <c r="I38" s="4" t="s">
        <v>317</v>
      </c>
      <c r="J38" s="4" t="s">
        <v>459</v>
      </c>
      <c r="K38" s="4" t="s">
        <v>478</v>
      </c>
      <c r="L38"/>
      <c r="M38" s="298"/>
      <c r="N38" s="298"/>
    </row>
    <row r="39" spans="1:14">
      <c r="A39" s="296">
        <f>+A33+1</f>
        <v>9</v>
      </c>
      <c r="B39" s="297" t="s">
        <v>389</v>
      </c>
      <c r="C39" s="297" t="s">
        <v>465</v>
      </c>
      <c r="D39" s="297" t="s">
        <v>387</v>
      </c>
      <c r="E39" s="297" t="s">
        <v>298</v>
      </c>
      <c r="G39" s="297" t="s">
        <v>318</v>
      </c>
      <c r="I39" s="297" t="s">
        <v>318</v>
      </c>
      <c r="J39" s="297" t="s">
        <v>318</v>
      </c>
      <c r="K39" s="297" t="s">
        <v>319</v>
      </c>
      <c r="L39" s="297" t="s">
        <v>371</v>
      </c>
      <c r="M39" s="298"/>
      <c r="N39" s="298"/>
    </row>
    <row r="40" spans="1:14">
      <c r="B40" s="75"/>
      <c r="C40" s="76"/>
      <c r="D40" s="76"/>
      <c r="E40" s="76"/>
      <c r="G40" s="76"/>
      <c r="I40" s="76"/>
      <c r="J40" s="76"/>
      <c r="K40" s="329"/>
      <c r="L40"/>
      <c r="M40" s="298"/>
      <c r="N40" s="298"/>
    </row>
    <row r="41" spans="1:14" ht="14.25">
      <c r="A41" s="296">
        <f>+A39+1</f>
        <v>10</v>
      </c>
      <c r="B41" s="1022" t="s">
        <v>896</v>
      </c>
      <c r="C41" s="1023" t="s">
        <v>802</v>
      </c>
      <c r="D41" s="1024">
        <v>10571.337747056172</v>
      </c>
      <c r="E41" s="1020">
        <f t="shared" ref="E41:E42" si="0">+D41-K41</f>
        <v>0</v>
      </c>
      <c r="G41" s="1021"/>
      <c r="I41" s="1021">
        <f t="shared" ref="I41:I42" si="1">+D41</f>
        <v>10571.337747056172</v>
      </c>
      <c r="J41" s="1021"/>
      <c r="K41" s="1021">
        <f t="shared" ref="K41:K42" si="2">+G41+I41+J41</f>
        <v>10571.337747056172</v>
      </c>
      <c r="L41"/>
      <c r="M41" s="298"/>
      <c r="N41" s="298"/>
    </row>
    <row r="42" spans="1:14" ht="14.25">
      <c r="A42" s="296">
        <f>+A41+1</f>
        <v>11</v>
      </c>
      <c r="B42" s="1025" t="s">
        <v>897</v>
      </c>
      <c r="C42" s="1023" t="s">
        <v>898</v>
      </c>
      <c r="D42" s="1024">
        <v>7954.5722529438262</v>
      </c>
      <c r="E42" s="1020">
        <f t="shared" si="0"/>
        <v>0</v>
      </c>
      <c r="G42" s="1021"/>
      <c r="I42" s="1021">
        <f t="shared" si="1"/>
        <v>7954.5722529438262</v>
      </c>
      <c r="J42" s="1021"/>
      <c r="K42" s="1021">
        <f t="shared" si="2"/>
        <v>7954.5722529438262</v>
      </c>
      <c r="L42"/>
      <c r="M42" s="298"/>
      <c r="N42" s="298"/>
    </row>
    <row r="43" spans="1:14" ht="14.25">
      <c r="A43" s="296">
        <f t="shared" ref="A43:A56" si="3">+A42+1</f>
        <v>12</v>
      </c>
      <c r="B43" s="1026"/>
      <c r="C43" s="1023"/>
      <c r="D43" s="1024"/>
      <c r="E43" s="1020"/>
      <c r="G43" s="1021"/>
      <c r="I43" s="1021"/>
      <c r="J43" s="1021"/>
      <c r="K43" s="1021"/>
      <c r="L43"/>
      <c r="M43" s="298"/>
      <c r="N43" s="298"/>
    </row>
    <row r="44" spans="1:14" ht="14.25">
      <c r="A44" s="296">
        <f t="shared" si="3"/>
        <v>13</v>
      </c>
      <c r="B44" s="1027"/>
      <c r="C44" s="1023"/>
      <c r="D44" s="1024"/>
      <c r="E44" s="1020"/>
      <c r="G44" s="1021"/>
      <c r="I44" s="1021"/>
      <c r="J44" s="1021"/>
      <c r="K44" s="1021"/>
      <c r="L44"/>
      <c r="M44" s="298"/>
      <c r="N44" s="298"/>
    </row>
    <row r="45" spans="1:14" ht="14.25">
      <c r="A45" s="296">
        <f t="shared" si="3"/>
        <v>14</v>
      </c>
      <c r="B45" s="1026"/>
      <c r="C45" s="1023"/>
      <c r="D45" s="1024"/>
      <c r="E45" s="1020"/>
      <c r="G45" s="1021"/>
      <c r="I45" s="1021"/>
      <c r="J45" s="1021"/>
      <c r="K45" s="1021"/>
      <c r="L45"/>
      <c r="M45" s="298"/>
      <c r="N45" s="298"/>
    </row>
    <row r="46" spans="1:14" ht="14.25">
      <c r="A46" s="296">
        <f t="shared" si="3"/>
        <v>15</v>
      </c>
      <c r="B46" s="1026"/>
      <c r="C46" s="1023"/>
      <c r="D46" s="1024"/>
      <c r="E46" s="1020"/>
      <c r="G46" s="1021"/>
      <c r="I46" s="1021"/>
      <c r="J46" s="1021"/>
      <c r="K46" s="1021"/>
      <c r="L46"/>
      <c r="M46" s="298"/>
      <c r="N46" s="298"/>
    </row>
    <row r="47" spans="1:14" ht="14.25">
      <c r="A47" s="296">
        <f t="shared" si="3"/>
        <v>16</v>
      </c>
      <c r="B47" s="663"/>
      <c r="C47" s="665"/>
      <c r="D47" s="1028"/>
      <c r="E47" s="1020"/>
      <c r="G47" s="830"/>
      <c r="I47" s="1021"/>
      <c r="J47" s="830"/>
      <c r="K47" s="830"/>
      <c r="L47"/>
      <c r="M47" s="298"/>
      <c r="N47" s="298"/>
    </row>
    <row r="48" spans="1:14" ht="14.25">
      <c r="A48" s="296">
        <f t="shared" si="3"/>
        <v>17</v>
      </c>
      <c r="B48" s="663"/>
      <c r="C48" s="665"/>
      <c r="D48" s="688"/>
      <c r="E48" s="340"/>
      <c r="G48" s="341"/>
      <c r="I48" s="341"/>
      <c r="J48" s="341"/>
      <c r="K48" s="342"/>
      <c r="L48" s="3"/>
      <c r="M48" s="298"/>
      <c r="N48" s="298"/>
    </row>
    <row r="49" spans="1:15" ht="14.25">
      <c r="A49" s="296">
        <f t="shared" si="3"/>
        <v>18</v>
      </c>
      <c r="B49" s="663"/>
      <c r="C49" s="665"/>
      <c r="D49" s="688"/>
      <c r="E49" s="340"/>
      <c r="G49" s="341"/>
      <c r="I49" s="341"/>
      <c r="J49" s="341"/>
      <c r="K49" s="342"/>
      <c r="L49"/>
      <c r="M49" s="298"/>
      <c r="N49" s="298"/>
    </row>
    <row r="50" spans="1:15" ht="14.25">
      <c r="A50" s="296">
        <f t="shared" si="3"/>
        <v>19</v>
      </c>
      <c r="B50" s="663"/>
      <c r="C50" s="665"/>
      <c r="D50" s="688"/>
      <c r="E50" s="340"/>
      <c r="G50" s="341"/>
      <c r="I50" s="341"/>
      <c r="J50" s="341"/>
      <c r="K50" s="342"/>
      <c r="L50"/>
      <c r="M50" s="298"/>
      <c r="N50" s="298"/>
    </row>
    <row r="51" spans="1:15" ht="14.25">
      <c r="A51" s="296">
        <f t="shared" si="3"/>
        <v>20</v>
      </c>
      <c r="B51" s="664"/>
      <c r="C51" s="665"/>
      <c r="D51" s="688"/>
      <c r="E51" s="340"/>
      <c r="G51" s="341"/>
      <c r="I51" s="341"/>
      <c r="J51" s="343"/>
      <c r="K51" s="342"/>
      <c r="L51"/>
      <c r="M51" s="298"/>
      <c r="N51" s="298"/>
    </row>
    <row r="52" spans="1:15" ht="14.25">
      <c r="A52" s="296">
        <f t="shared" si="3"/>
        <v>21</v>
      </c>
      <c r="B52" s="664"/>
      <c r="C52" s="665"/>
      <c r="D52" s="688"/>
      <c r="E52" s="340"/>
      <c r="G52" s="341"/>
      <c r="I52" s="341"/>
      <c r="J52" s="343"/>
      <c r="K52" s="342"/>
      <c r="L52"/>
      <c r="M52" s="298"/>
      <c r="N52" s="298"/>
    </row>
    <row r="53" spans="1:15" ht="14.25">
      <c r="A53" s="296">
        <f t="shared" si="3"/>
        <v>22</v>
      </c>
      <c r="B53" s="664"/>
      <c r="C53" s="665"/>
      <c r="D53" s="688"/>
      <c r="E53" s="340"/>
      <c r="G53" s="341"/>
      <c r="I53" s="341"/>
      <c r="J53" s="343"/>
      <c r="K53" s="342"/>
      <c r="L53"/>
      <c r="M53" s="298"/>
      <c r="N53" s="298"/>
    </row>
    <row r="54" spans="1:15" ht="14.25">
      <c r="A54" s="296">
        <f t="shared" si="3"/>
        <v>23</v>
      </c>
      <c r="B54" s="664"/>
      <c r="C54" s="665"/>
      <c r="D54" s="688"/>
      <c r="E54" s="340"/>
      <c r="G54" s="341"/>
      <c r="I54" s="341"/>
      <c r="J54" s="343"/>
      <c r="K54" s="342"/>
      <c r="L54"/>
      <c r="M54" s="298"/>
      <c r="N54" s="298"/>
    </row>
    <row r="55" spans="1:15" ht="14.25">
      <c r="A55" s="296">
        <f t="shared" si="3"/>
        <v>24</v>
      </c>
      <c r="B55" s="664"/>
      <c r="C55" s="665"/>
      <c r="D55" s="688"/>
      <c r="E55" s="340"/>
      <c r="G55" s="341"/>
      <c r="I55" s="341"/>
      <c r="J55" s="343"/>
      <c r="K55" s="342"/>
      <c r="L55"/>
      <c r="M55" s="298"/>
      <c r="N55" s="298"/>
    </row>
    <row r="56" spans="1:15" ht="15" thickBot="1">
      <c r="A56" s="296">
        <f t="shared" si="3"/>
        <v>25</v>
      </c>
      <c r="B56" s="664"/>
      <c r="C56" s="665"/>
      <c r="D56" s="688"/>
      <c r="E56" s="340"/>
      <c r="G56" s="341"/>
      <c r="I56" s="341"/>
      <c r="J56" s="341"/>
      <c r="K56" s="342"/>
      <c r="L56"/>
      <c r="M56" s="298"/>
      <c r="N56" s="298"/>
    </row>
    <row r="57" spans="1:15">
      <c r="B57" s="75"/>
      <c r="C57" s="344" t="s">
        <v>299</v>
      </c>
      <c r="D57" s="345">
        <f>SUM(D41:D56)</f>
        <v>18525.909999999996</v>
      </c>
      <c r="E57" s="346">
        <f>SUM(E41:E56)</f>
        <v>0</v>
      </c>
      <c r="G57" s="345">
        <f>SUM(G41:G56)</f>
        <v>0</v>
      </c>
      <c r="I57" s="345">
        <f>SUM(I41:I56)</f>
        <v>18525.909999999996</v>
      </c>
      <c r="J57" s="345">
        <f>SUM(J41:J56)</f>
        <v>0</v>
      </c>
      <c r="K57" s="345">
        <f>SUM(K41:K56)</f>
        <v>18525.909999999996</v>
      </c>
      <c r="L57"/>
      <c r="M57" s="298"/>
      <c r="N57" s="298"/>
    </row>
    <row r="58" spans="1:15">
      <c r="D58" s="347" t="s">
        <v>414</v>
      </c>
      <c r="K58" s="36"/>
      <c r="L58"/>
      <c r="M58" s="298"/>
      <c r="N58" s="298"/>
    </row>
    <row r="59" spans="1:15">
      <c r="B59"/>
      <c r="C59"/>
      <c r="D59"/>
      <c r="E59"/>
      <c r="F59"/>
      <c r="G59"/>
      <c r="H59"/>
      <c r="I59"/>
      <c r="J59"/>
      <c r="K59"/>
      <c r="L59"/>
      <c r="M59" s="298"/>
      <c r="N59" s="298"/>
      <c r="O59"/>
    </row>
    <row r="60" spans="1:15" ht="18">
      <c r="B60" s="1168" t="str">
        <f>"Prepayments Account 165 - Balance @ 12/31/ "&amp;D62&amp;""</f>
        <v>Prepayments Account 165 - Balance @ 12/31/ 2025</v>
      </c>
      <c r="C60" s="1168"/>
      <c r="D60" s="1168"/>
      <c r="E60" s="1168"/>
      <c r="F60" s="1168"/>
      <c r="G60" s="1168"/>
      <c r="H60" s="1168"/>
      <c r="I60" s="1168"/>
      <c r="J60" s="1168"/>
      <c r="K60" s="313"/>
      <c r="L60" s="314"/>
      <c r="M60" s="298"/>
      <c r="N60" s="298"/>
      <c r="O60"/>
    </row>
    <row r="61" spans="1:15">
      <c r="B61" s="348"/>
      <c r="C61" s="109"/>
      <c r="D61" s="349"/>
      <c r="E61" s="327"/>
      <c r="G61" s="327" t="s">
        <v>386</v>
      </c>
      <c r="I61" s="4" t="s">
        <v>415</v>
      </c>
      <c r="J61" s="4" t="s">
        <v>415</v>
      </c>
      <c r="K61" s="4" t="s">
        <v>477</v>
      </c>
      <c r="L61"/>
      <c r="M61" s="298"/>
      <c r="N61" s="298"/>
      <c r="O61"/>
    </row>
    <row r="62" spans="1:15">
      <c r="B62" s="348"/>
      <c r="C62" s="350"/>
      <c r="D62" s="4" t="str">
        <f>""&amp;TCOS!L4-1&amp;""</f>
        <v>2025</v>
      </c>
      <c r="E62" s="4" t="s">
        <v>327</v>
      </c>
      <c r="G62" s="4" t="s">
        <v>415</v>
      </c>
      <c r="I62" s="4" t="s">
        <v>317</v>
      </c>
      <c r="J62" s="4" t="s">
        <v>459</v>
      </c>
      <c r="K62" s="4" t="s">
        <v>478</v>
      </c>
      <c r="L62"/>
      <c r="M62" s="298"/>
      <c r="N62" s="298"/>
      <c r="O62"/>
    </row>
    <row r="63" spans="1:15">
      <c r="A63" s="296">
        <f>A56+1</f>
        <v>26</v>
      </c>
      <c r="B63" s="297" t="s">
        <v>389</v>
      </c>
      <c r="C63" s="297" t="s">
        <v>465</v>
      </c>
      <c r="D63" s="297" t="s">
        <v>387</v>
      </c>
      <c r="E63" s="297" t="s">
        <v>298</v>
      </c>
      <c r="G63" s="297" t="s">
        <v>318</v>
      </c>
      <c r="I63" s="297" t="s">
        <v>318</v>
      </c>
      <c r="J63" s="297" t="s">
        <v>318</v>
      </c>
      <c r="K63" s="297" t="s">
        <v>319</v>
      </c>
      <c r="L63" s="297" t="s">
        <v>371</v>
      </c>
      <c r="M63" s="298"/>
      <c r="N63" s="298"/>
      <c r="O63"/>
    </row>
    <row r="64" spans="1:15">
      <c r="B64" s="75"/>
      <c r="C64" s="76"/>
      <c r="D64" s="76"/>
      <c r="E64" s="76"/>
      <c r="G64" s="76"/>
      <c r="I64" s="76"/>
      <c r="J64" s="76"/>
      <c r="K64" s="76"/>
      <c r="L64"/>
      <c r="M64" s="298"/>
      <c r="N64" s="298"/>
      <c r="O64"/>
    </row>
    <row r="65" spans="1:15" ht="14.25">
      <c r="A65" s="296">
        <f>+A63+1</f>
        <v>27</v>
      </c>
      <c r="B65" s="1022" t="s">
        <v>896</v>
      </c>
      <c r="C65" s="1023" t="s">
        <v>802</v>
      </c>
      <c r="D65" s="1024">
        <v>10571.337747056172</v>
      </c>
      <c r="E65" s="1020">
        <f t="shared" ref="E65:E66" si="4">+D65-K65</f>
        <v>0</v>
      </c>
      <c r="G65" s="1021"/>
      <c r="I65" s="1021">
        <f t="shared" ref="I65:I66" si="5">+D65</f>
        <v>10571.337747056172</v>
      </c>
      <c r="J65" s="1021"/>
      <c r="K65" s="1021">
        <f t="shared" ref="K65:K66" si="6">+G65+I65+J65</f>
        <v>10571.337747056172</v>
      </c>
      <c r="L65"/>
      <c r="M65" s="298"/>
      <c r="N65" s="298"/>
      <c r="O65"/>
    </row>
    <row r="66" spans="1:15" ht="14.25">
      <c r="A66" s="296">
        <f>+A65+1</f>
        <v>28</v>
      </c>
      <c r="B66" s="1025" t="s">
        <v>897</v>
      </c>
      <c r="C66" s="1023" t="s">
        <v>898</v>
      </c>
      <c r="D66" s="1024">
        <v>7954.5722529438262</v>
      </c>
      <c r="E66" s="1020">
        <f t="shared" si="4"/>
        <v>0</v>
      </c>
      <c r="G66" s="1021"/>
      <c r="I66" s="1021">
        <f t="shared" si="5"/>
        <v>7954.5722529438262</v>
      </c>
      <c r="J66" s="1021"/>
      <c r="K66" s="1021">
        <f t="shared" si="6"/>
        <v>7954.5722529438262</v>
      </c>
      <c r="L66"/>
      <c r="M66" s="298"/>
      <c r="N66" s="298"/>
      <c r="O66"/>
    </row>
    <row r="67" spans="1:15" ht="14.25">
      <c r="A67" s="296">
        <f t="shared" ref="A67:A80" si="7">+A66+1</f>
        <v>29</v>
      </c>
      <c r="B67" s="1026"/>
      <c r="C67" s="1023"/>
      <c r="D67" s="1024"/>
      <c r="E67" s="1020"/>
      <c r="G67" s="1021"/>
      <c r="I67" s="1021"/>
      <c r="J67" s="1021"/>
      <c r="K67" s="1021"/>
      <c r="L67"/>
      <c r="M67" s="298"/>
      <c r="N67" s="298"/>
      <c r="O67"/>
    </row>
    <row r="68" spans="1:15" ht="14.25">
      <c r="A68" s="296">
        <f t="shared" si="7"/>
        <v>30</v>
      </c>
      <c r="B68" s="1027"/>
      <c r="C68" s="1023"/>
      <c r="D68" s="1024"/>
      <c r="E68" s="1020"/>
      <c r="G68" s="1021"/>
      <c r="I68" s="1021"/>
      <c r="J68" s="1021"/>
      <c r="K68" s="1021"/>
      <c r="L68"/>
      <c r="M68" s="298"/>
      <c r="N68" s="298"/>
      <c r="O68"/>
    </row>
    <row r="69" spans="1:15" ht="14.25">
      <c r="A69" s="296">
        <f t="shared" si="7"/>
        <v>31</v>
      </c>
      <c r="B69" s="1026"/>
      <c r="C69" s="1023"/>
      <c r="D69" s="1024"/>
      <c r="E69" s="1020"/>
      <c r="G69" s="1021"/>
      <c r="I69" s="1021"/>
      <c r="J69" s="1021"/>
      <c r="K69" s="1021"/>
      <c r="L69"/>
      <c r="M69" s="298"/>
      <c r="N69" s="298"/>
      <c r="O69"/>
    </row>
    <row r="70" spans="1:15" ht="14.25">
      <c r="A70" s="296">
        <f t="shared" si="7"/>
        <v>32</v>
      </c>
      <c r="B70" s="1026"/>
      <c r="C70" s="1023"/>
      <c r="D70" s="1024"/>
      <c r="E70" s="1020"/>
      <c r="G70" s="1021"/>
      <c r="I70" s="1021"/>
      <c r="J70" s="1021"/>
      <c r="K70" s="1021"/>
      <c r="L70"/>
      <c r="M70" s="298"/>
      <c r="N70" s="298"/>
      <c r="O70"/>
    </row>
    <row r="71" spans="1:15" ht="14.25">
      <c r="A71" s="296">
        <f t="shared" si="7"/>
        <v>33</v>
      </c>
      <c r="B71" s="663"/>
      <c r="C71" s="665"/>
      <c r="D71" s="1028"/>
      <c r="E71" s="1020"/>
      <c r="G71" s="830"/>
      <c r="I71" s="1021"/>
      <c r="J71" s="830"/>
      <c r="K71" s="830"/>
      <c r="L71"/>
      <c r="M71" s="298"/>
      <c r="N71" s="298"/>
      <c r="O71"/>
    </row>
    <row r="72" spans="1:15" ht="14.25">
      <c r="A72" s="296">
        <f t="shared" si="7"/>
        <v>34</v>
      </c>
      <c r="B72" s="664"/>
      <c r="C72" s="665"/>
      <c r="D72" s="688"/>
      <c r="E72" s="341"/>
      <c r="G72" s="341"/>
      <c r="I72" s="341"/>
      <c r="J72" s="341"/>
      <c r="K72" s="342"/>
      <c r="L72" s="3"/>
      <c r="M72" s="298"/>
      <c r="N72" s="298"/>
      <c r="O72"/>
    </row>
    <row r="73" spans="1:15" ht="14.25">
      <c r="A73" s="296">
        <f t="shared" si="7"/>
        <v>35</v>
      </c>
      <c r="B73" s="664"/>
      <c r="C73" s="665"/>
      <c r="D73" s="688"/>
      <c r="E73" s="341"/>
      <c r="G73" s="341"/>
      <c r="I73" s="341"/>
      <c r="J73" s="341"/>
      <c r="K73" s="342"/>
      <c r="L73"/>
      <c r="M73" s="298"/>
      <c r="N73" s="298"/>
      <c r="O73"/>
    </row>
    <row r="74" spans="1:15" ht="14.25">
      <c r="A74" s="296">
        <f>+A71+1</f>
        <v>34</v>
      </c>
      <c r="B74" s="664"/>
      <c r="C74" s="665"/>
      <c r="D74" s="688"/>
      <c r="E74" s="341"/>
      <c r="G74" s="341"/>
      <c r="I74" s="341"/>
      <c r="J74" s="341"/>
      <c r="K74" s="342"/>
      <c r="L74"/>
      <c r="M74" s="298"/>
      <c r="N74" s="298"/>
      <c r="O74"/>
    </row>
    <row r="75" spans="1:15" ht="14.25">
      <c r="A75" s="296">
        <f t="shared" si="7"/>
        <v>35</v>
      </c>
      <c r="B75" s="664"/>
      <c r="C75" s="665"/>
      <c r="D75" s="688"/>
      <c r="E75" s="341"/>
      <c r="G75" s="341"/>
      <c r="I75" s="341"/>
      <c r="J75" s="343"/>
      <c r="K75" s="342"/>
      <c r="L75"/>
      <c r="M75" s="298"/>
      <c r="N75" s="298"/>
      <c r="O75"/>
    </row>
    <row r="76" spans="1:15" ht="14.25">
      <c r="A76" s="296">
        <f t="shared" si="7"/>
        <v>36</v>
      </c>
      <c r="B76" s="664"/>
      <c r="C76" s="665"/>
      <c r="D76" s="688"/>
      <c r="E76" s="340"/>
      <c r="G76" s="341"/>
      <c r="I76" s="341"/>
      <c r="J76" s="343"/>
      <c r="K76" s="342"/>
      <c r="L76"/>
      <c r="M76" s="298"/>
      <c r="N76" s="298"/>
      <c r="O76"/>
    </row>
    <row r="77" spans="1:15" ht="14.25">
      <c r="A77" s="296">
        <f t="shared" si="7"/>
        <v>37</v>
      </c>
      <c r="B77" s="664"/>
      <c r="C77" s="665"/>
      <c r="D77" s="688"/>
      <c r="E77" s="340"/>
      <c r="G77" s="341"/>
      <c r="I77" s="341"/>
      <c r="J77" s="343"/>
      <c r="K77" s="342"/>
      <c r="L77"/>
      <c r="M77" s="298"/>
      <c r="N77" s="298"/>
      <c r="O77"/>
    </row>
    <row r="78" spans="1:15" ht="14.25">
      <c r="A78" s="296">
        <f t="shared" si="7"/>
        <v>38</v>
      </c>
      <c r="B78" s="664"/>
      <c r="C78" s="665"/>
      <c r="D78" s="688"/>
      <c r="E78" s="340"/>
      <c r="G78" s="341"/>
      <c r="I78" s="341"/>
      <c r="J78" s="343"/>
      <c r="K78" s="342"/>
      <c r="L78"/>
      <c r="M78" s="298"/>
      <c r="N78" s="298"/>
      <c r="O78"/>
    </row>
    <row r="79" spans="1:15" ht="14.25">
      <c r="A79" s="296">
        <f t="shared" si="7"/>
        <v>39</v>
      </c>
      <c r="B79" s="664"/>
      <c r="C79" s="665"/>
      <c r="D79" s="688"/>
      <c r="E79" s="340"/>
      <c r="G79" s="341"/>
      <c r="I79" s="341"/>
      <c r="J79" s="343"/>
      <c r="K79" s="342"/>
      <c r="L79"/>
      <c r="M79" s="298"/>
      <c r="N79" s="298"/>
      <c r="O79"/>
    </row>
    <row r="80" spans="1:15" ht="15" thickBot="1">
      <c r="A80" s="296">
        <f t="shared" si="7"/>
        <v>40</v>
      </c>
      <c r="B80" s="664"/>
      <c r="C80" s="665"/>
      <c r="D80" s="688"/>
      <c r="E80" s="340"/>
      <c r="G80" s="341"/>
      <c r="I80" s="341"/>
      <c r="J80" s="341"/>
      <c r="K80" s="342"/>
      <c r="L80"/>
      <c r="M80" s="298"/>
      <c r="N80" s="298"/>
      <c r="O80"/>
    </row>
    <row r="81" spans="1:15">
      <c r="B81" s="75"/>
      <c r="C81" s="344" t="s">
        <v>626</v>
      </c>
      <c r="D81" s="345">
        <f>SUM(D65:D80)</f>
        <v>18525.909999999996</v>
      </c>
      <c r="E81" s="346">
        <f>SUM(E65:E80)</f>
        <v>0</v>
      </c>
      <c r="G81" s="345">
        <f>SUM(G65:G80)</f>
        <v>0</v>
      </c>
      <c r="I81" s="345">
        <f>SUM(I65:I80)</f>
        <v>18525.909999999996</v>
      </c>
      <c r="J81" s="345">
        <f>SUM(J65:J80)</f>
        <v>0</v>
      </c>
      <c r="K81" s="345">
        <f>SUM(K65:K80)</f>
        <v>18525.909999999996</v>
      </c>
      <c r="L81"/>
      <c r="M81" s="298"/>
      <c r="N81" s="298"/>
      <c r="O81"/>
    </row>
    <row r="82" spans="1:15">
      <c r="B82" s="296"/>
      <c r="C82"/>
      <c r="D82"/>
      <c r="E82"/>
      <c r="F82"/>
      <c r="G82"/>
      <c r="H82"/>
      <c r="I82"/>
      <c r="J82"/>
      <c r="K82"/>
      <c r="L82"/>
      <c r="M82" s="298"/>
      <c r="N82" s="298"/>
      <c r="O82"/>
    </row>
    <row r="83" spans="1:15" ht="20.25" customHeight="1">
      <c r="A83" s="296" t="s">
        <v>695</v>
      </c>
      <c r="B83" s="1167" t="s">
        <v>775</v>
      </c>
      <c r="C83" s="1167"/>
      <c r="D83" s="1167"/>
      <c r="E83" s="1167"/>
      <c r="F83" s="1167"/>
      <c r="G83" s="1167"/>
      <c r="H83" s="1167"/>
      <c r="I83" s="1167"/>
      <c r="J83" s="1167"/>
      <c r="K83" s="1167"/>
      <c r="L83" s="1167"/>
      <c r="M83" s="298"/>
      <c r="N83" s="298"/>
      <c r="O83"/>
    </row>
    <row r="84" spans="1:15" ht="20.25" customHeight="1">
      <c r="A84" s="707"/>
      <c r="B84" s="1167"/>
      <c r="C84" s="1167"/>
      <c r="D84" s="1167"/>
      <c r="E84" s="1167"/>
      <c r="F84" s="1167"/>
      <c r="G84" s="1167"/>
      <c r="H84" s="1167"/>
      <c r="I84" s="1167"/>
      <c r="J84" s="1167"/>
      <c r="K84" s="1167"/>
      <c r="L84" s="1167"/>
      <c r="M84"/>
      <c r="N84"/>
      <c r="O84"/>
    </row>
    <row r="85" spans="1:15">
      <c r="A85"/>
      <c r="B85"/>
      <c r="C85"/>
      <c r="D85"/>
      <c r="E85"/>
      <c r="F85"/>
      <c r="G85"/>
      <c r="H85"/>
      <c r="I85"/>
      <c r="J85"/>
      <c r="K85"/>
      <c r="L85"/>
      <c r="M85"/>
      <c r="N85"/>
      <c r="O85"/>
    </row>
    <row r="86" spans="1:15">
      <c r="A86"/>
      <c r="B86"/>
      <c r="C86"/>
      <c r="D86"/>
      <c r="E86"/>
      <c r="F86"/>
      <c r="G86"/>
      <c r="H86"/>
      <c r="I86"/>
      <c r="J86"/>
      <c r="K86"/>
      <c r="L86"/>
      <c r="M86"/>
      <c r="N86"/>
      <c r="O86"/>
    </row>
    <row r="87" spans="1:15">
      <c r="A87"/>
      <c r="B87"/>
      <c r="C87"/>
      <c r="D87"/>
      <c r="E87"/>
      <c r="F87"/>
      <c r="G87"/>
      <c r="H87"/>
      <c r="I87"/>
      <c r="J87"/>
      <c r="K87"/>
      <c r="L87"/>
      <c r="M87"/>
      <c r="N87"/>
      <c r="O87"/>
    </row>
    <row r="88" spans="1:15">
      <c r="A88"/>
      <c r="B88"/>
      <c r="C88"/>
      <c r="D88"/>
      <c r="E88"/>
      <c r="F88"/>
      <c r="G88"/>
      <c r="H88"/>
      <c r="I88"/>
      <c r="J88"/>
      <c r="K88"/>
      <c r="L88"/>
      <c r="M88"/>
      <c r="N88"/>
      <c r="O88"/>
    </row>
    <row r="89" spans="1:15">
      <c r="A89"/>
      <c r="B89"/>
      <c r="C89"/>
      <c r="D89"/>
      <c r="E89"/>
      <c r="F89"/>
      <c r="G89"/>
      <c r="H89"/>
      <c r="I89"/>
      <c r="J89"/>
      <c r="K89"/>
      <c r="L89"/>
      <c r="M89"/>
      <c r="N89"/>
      <c r="O89"/>
    </row>
    <row r="90" spans="1:15">
      <c r="A90"/>
      <c r="B90"/>
      <c r="C90"/>
      <c r="D90"/>
      <c r="E90"/>
      <c r="F90"/>
      <c r="G90"/>
      <c r="H90"/>
      <c r="I90"/>
      <c r="J90"/>
      <c r="K90"/>
      <c r="L90"/>
      <c r="M90"/>
      <c r="N90"/>
      <c r="O90"/>
    </row>
    <row r="91" spans="1:15">
      <c r="A91"/>
      <c r="B91"/>
      <c r="C91"/>
      <c r="D91"/>
      <c r="E91"/>
      <c r="F91"/>
      <c r="G91"/>
      <c r="H91"/>
      <c r="I91"/>
      <c r="J91"/>
      <c r="K91"/>
      <c r="L91"/>
      <c r="M91"/>
      <c r="N91"/>
      <c r="O91"/>
    </row>
    <row r="92" spans="1:15">
      <c r="A92"/>
      <c r="B92"/>
      <c r="C92"/>
      <c r="D92"/>
      <c r="E92"/>
      <c r="F92"/>
      <c r="G92"/>
      <c r="H92"/>
      <c r="I92"/>
      <c r="J92"/>
      <c r="K92"/>
      <c r="L92"/>
      <c r="M92"/>
      <c r="N92"/>
      <c r="O92"/>
    </row>
    <row r="93" spans="1:15">
      <c r="A93"/>
      <c r="B93"/>
      <c r="C93"/>
      <c r="D93"/>
      <c r="E93"/>
      <c r="F93"/>
      <c r="G93"/>
      <c r="H93"/>
      <c r="I93"/>
      <c r="J93"/>
      <c r="K93"/>
      <c r="L93"/>
      <c r="M93"/>
      <c r="N93"/>
      <c r="O93"/>
    </row>
    <row r="94" spans="1:15">
      <c r="A94"/>
      <c r="B94"/>
      <c r="C94"/>
      <c r="D94"/>
      <c r="E94"/>
      <c r="F94"/>
      <c r="G94"/>
      <c r="H94"/>
      <c r="I94"/>
      <c r="J94"/>
      <c r="K94"/>
      <c r="L94"/>
      <c r="M94"/>
      <c r="N94"/>
      <c r="O94"/>
    </row>
    <row r="95" spans="1:15">
      <c r="A95"/>
      <c r="B95"/>
      <c r="C95"/>
      <c r="D95"/>
      <c r="E95"/>
      <c r="F95"/>
      <c r="G95"/>
      <c r="H95"/>
      <c r="I95"/>
      <c r="J95"/>
      <c r="K95"/>
      <c r="L95"/>
      <c r="M95"/>
      <c r="N95"/>
      <c r="O95"/>
    </row>
    <row r="96" spans="1:15">
      <c r="A96"/>
      <c r="B96"/>
      <c r="C96"/>
      <c r="D96"/>
      <c r="E96"/>
      <c r="F96"/>
      <c r="G96"/>
      <c r="H96"/>
      <c r="I96"/>
      <c r="J96"/>
      <c r="K96"/>
      <c r="L96"/>
      <c r="M96"/>
      <c r="N96"/>
      <c r="O96"/>
    </row>
    <row r="97" spans="1:15">
      <c r="A97"/>
      <c r="B97"/>
      <c r="C97"/>
      <c r="D97"/>
      <c r="E97"/>
      <c r="F97"/>
      <c r="G97"/>
      <c r="H97"/>
      <c r="I97"/>
      <c r="J97"/>
      <c r="K97"/>
      <c r="L97"/>
      <c r="M97"/>
      <c r="N97"/>
      <c r="O97"/>
    </row>
    <row r="98" spans="1:15">
      <c r="A98"/>
      <c r="B98"/>
      <c r="C98"/>
      <c r="D98"/>
      <c r="E98"/>
      <c r="F98"/>
      <c r="G98"/>
      <c r="H98"/>
      <c r="I98"/>
      <c r="J98"/>
      <c r="K98"/>
      <c r="L98"/>
      <c r="M98"/>
      <c r="N98"/>
      <c r="O98"/>
    </row>
    <row r="99" spans="1:15">
      <c r="A99"/>
      <c r="B99"/>
      <c r="C99"/>
      <c r="D99"/>
      <c r="E99"/>
      <c r="F99"/>
      <c r="G99"/>
      <c r="H99"/>
      <c r="I99"/>
      <c r="J99"/>
      <c r="K99"/>
      <c r="L99"/>
      <c r="M99"/>
      <c r="N99"/>
      <c r="O99"/>
    </row>
    <row r="100" spans="1:15">
      <c r="A100"/>
      <c r="B100"/>
      <c r="C100"/>
      <c r="D100"/>
      <c r="E100"/>
      <c r="F100"/>
      <c r="G100"/>
      <c r="H100"/>
      <c r="I100"/>
      <c r="J100"/>
      <c r="K100"/>
      <c r="L100"/>
      <c r="M100"/>
      <c r="N100"/>
      <c r="O100"/>
    </row>
    <row r="101" spans="1:15">
      <c r="A101"/>
      <c r="B101"/>
      <c r="C101"/>
      <c r="D101"/>
      <c r="E101"/>
      <c r="F101"/>
      <c r="G101"/>
      <c r="H101"/>
      <c r="I101"/>
      <c r="J101"/>
      <c r="K101"/>
      <c r="L101"/>
      <c r="M101"/>
      <c r="N101"/>
      <c r="O101"/>
    </row>
    <row r="102" spans="1:15">
      <c r="A102"/>
      <c r="B102"/>
      <c r="C102"/>
      <c r="D102"/>
      <c r="E102"/>
      <c r="F102"/>
      <c r="G102"/>
      <c r="H102"/>
      <c r="I102"/>
      <c r="J102"/>
      <c r="K102"/>
      <c r="L102"/>
      <c r="M102"/>
      <c r="N102"/>
      <c r="O102"/>
    </row>
    <row r="103" spans="1:15">
      <c r="A103"/>
      <c r="B103"/>
      <c r="C103"/>
      <c r="D103"/>
      <c r="E103"/>
      <c r="F103"/>
      <c r="G103"/>
      <c r="H103"/>
      <c r="I103"/>
      <c r="J103"/>
      <c r="K103"/>
      <c r="L103"/>
      <c r="M103"/>
      <c r="N103"/>
      <c r="O103"/>
    </row>
    <row r="104" spans="1:15">
      <c r="A104"/>
      <c r="B104"/>
      <c r="C104"/>
      <c r="D104"/>
      <c r="E104"/>
      <c r="F104"/>
      <c r="G104"/>
      <c r="H104"/>
      <c r="I104"/>
      <c r="J104"/>
      <c r="K104"/>
      <c r="L104"/>
      <c r="M104"/>
      <c r="N104"/>
      <c r="O104"/>
    </row>
    <row r="105" spans="1:15">
      <c r="A105"/>
      <c r="B105"/>
      <c r="C105"/>
      <c r="D105"/>
      <c r="E105"/>
      <c r="F105"/>
      <c r="G105"/>
      <c r="H105"/>
      <c r="I105"/>
      <c r="J105"/>
      <c r="K105"/>
      <c r="L105"/>
      <c r="M105"/>
      <c r="N105"/>
      <c r="O105"/>
    </row>
    <row r="106" spans="1:15">
      <c r="A106"/>
      <c r="B106"/>
      <c r="C106"/>
      <c r="D106"/>
      <c r="E106"/>
      <c r="F106"/>
      <c r="G106"/>
      <c r="H106"/>
      <c r="I106"/>
      <c r="J106"/>
      <c r="K106"/>
      <c r="L106"/>
      <c r="M106"/>
      <c r="N106"/>
      <c r="O106"/>
    </row>
    <row r="107" spans="1:15">
      <c r="A107"/>
      <c r="B107"/>
      <c r="C107"/>
      <c r="D107"/>
      <c r="E107"/>
      <c r="F107"/>
      <c r="G107"/>
      <c r="H107"/>
      <c r="I107"/>
      <c r="J107"/>
      <c r="K107"/>
      <c r="L107"/>
      <c r="M107"/>
      <c r="N107"/>
      <c r="O107"/>
    </row>
  </sheetData>
  <mergeCells count="12">
    <mergeCell ref="B83:L84"/>
    <mergeCell ref="B60:J60"/>
    <mergeCell ref="B26:K26"/>
    <mergeCell ref="E12:E13"/>
    <mergeCell ref="I12:I13"/>
    <mergeCell ref="B36:J36"/>
    <mergeCell ref="G12:G13"/>
    <mergeCell ref="B10:K10"/>
    <mergeCell ref="A3:L3"/>
    <mergeCell ref="A4:L4"/>
    <mergeCell ref="A5:L5"/>
    <mergeCell ref="A6:L6"/>
  </mergeCells>
  <phoneticPr fontId="3" type="noConversion"/>
  <pageMargins left="1.08" right="0.75" top="0.7" bottom="0.41" header="0.75" footer="0.27"/>
  <pageSetup scale="43" orientation="landscape" r:id="rId1"/>
  <headerFooter alignWithMargins="0">
    <oddHeader>&amp;R&amp;"Arial,Bold"Formula Rate
&amp;A
Page &amp;P of &amp;N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O38"/>
  <sheetViews>
    <sheetView workbookViewId="0">
      <selection activeCell="B38" sqref="B38"/>
    </sheetView>
  </sheetViews>
  <sheetFormatPr defaultColWidth="8.85546875" defaultRowHeight="12.75"/>
  <cols>
    <col min="1" max="1" width="9.140625" style="1" customWidth="1"/>
    <col min="2" max="2" width="65.140625" bestFit="1" customWidth="1"/>
    <col min="3" max="3" width="13.5703125" bestFit="1" customWidth="1"/>
    <col min="4" max="4" width="1.5703125" customWidth="1"/>
    <col min="5" max="5" width="15" bestFit="1" customWidth="1"/>
  </cols>
  <sheetData>
    <row r="1" spans="1:15" ht="15.75">
      <c r="A1" s="696" t="s">
        <v>414</v>
      </c>
    </row>
    <row r="2" spans="1:15" ht="15.75">
      <c r="A2" s="696" t="s">
        <v>414</v>
      </c>
    </row>
    <row r="3" spans="1:15" ht="15">
      <c r="A3" s="1141" t="str">
        <f>TCOS!$F$5</f>
        <v>AEPTCo subsidiaries in PJM</v>
      </c>
      <c r="B3" s="1141" t="str">
        <f>TCOS!$F$5</f>
        <v>AEPTCo subsidiaries in PJM</v>
      </c>
      <c r="C3" s="1141" t="str">
        <f>TCOS!$F$5</f>
        <v>AEPTCo subsidiaries in PJM</v>
      </c>
      <c r="D3" s="1141" t="str">
        <f>TCOS!$F$5</f>
        <v>AEPTCo subsidiaries in PJM</v>
      </c>
      <c r="E3" s="1141" t="str">
        <f>TCOS!$F$5</f>
        <v>AEPTCo subsidiaries in PJM</v>
      </c>
      <c r="F3" s="17"/>
      <c r="G3" s="17"/>
      <c r="H3" s="17"/>
      <c r="I3" s="17"/>
      <c r="J3" s="17"/>
      <c r="K3" s="17"/>
      <c r="L3" s="17"/>
      <c r="M3" s="17"/>
      <c r="N3" s="17"/>
      <c r="O3" s="17"/>
    </row>
    <row r="4" spans="1:15" ht="15">
      <c r="A4" s="1142" t="str">
        <f>"Cost of Service Formula Rate Using Actual/Projected FF1 Balances"</f>
        <v>Cost of Service Formula Rate Using Actual/Projected FF1 Balances</v>
      </c>
      <c r="B4" s="1142"/>
      <c r="C4" s="1142"/>
      <c r="D4" s="1142"/>
      <c r="E4" s="1142"/>
      <c r="F4" s="44"/>
      <c r="G4" s="44"/>
      <c r="H4" s="44"/>
      <c r="I4" s="44"/>
      <c r="J4" s="44"/>
      <c r="K4" s="44"/>
      <c r="L4" s="44"/>
      <c r="M4" s="45"/>
      <c r="N4" s="45"/>
      <c r="O4" s="45"/>
    </row>
    <row r="5" spans="1:15" ht="15">
      <c r="A5" s="1142" t="s">
        <v>551</v>
      </c>
      <c r="B5" s="1142"/>
      <c r="C5" s="1142"/>
      <c r="D5" s="1142"/>
      <c r="E5" s="1142"/>
      <c r="F5" s="44"/>
      <c r="G5" s="44"/>
      <c r="H5" s="44"/>
      <c r="I5" s="44"/>
      <c r="J5" s="44"/>
      <c r="K5" s="44"/>
      <c r="L5" s="44"/>
      <c r="M5" s="44"/>
      <c r="N5" s="44"/>
      <c r="O5" s="44"/>
    </row>
    <row r="6" spans="1:15" ht="15">
      <c r="A6" s="1152" t="str">
        <f>TCOS!F9</f>
        <v>AEP Kentucky Transmission Company</v>
      </c>
      <c r="B6" s="1152"/>
      <c r="C6" s="1152"/>
      <c r="D6" s="1152"/>
      <c r="E6" s="1152"/>
      <c r="F6" s="2"/>
      <c r="G6" s="2"/>
      <c r="H6" s="2"/>
      <c r="I6" s="2"/>
      <c r="J6" s="2"/>
      <c r="K6" s="2"/>
      <c r="L6" s="2"/>
      <c r="M6" s="2"/>
      <c r="N6" s="2"/>
      <c r="O6" s="2"/>
    </row>
    <row r="8" spans="1:15">
      <c r="A8" s="69" t="s">
        <v>467</v>
      </c>
      <c r="B8" s="70" t="s">
        <v>460</v>
      </c>
      <c r="C8" s="70" t="s">
        <v>461</v>
      </c>
    </row>
    <row r="9" spans="1:15">
      <c r="A9" s="69" t="s">
        <v>405</v>
      </c>
      <c r="B9" s="69" t="s">
        <v>465</v>
      </c>
      <c r="C9" s="69">
        <f>+TCOS!L4</f>
        <v>2026</v>
      </c>
    </row>
    <row r="10" spans="1:15">
      <c r="B10" s="98"/>
      <c r="C10" s="70"/>
    </row>
    <row r="11" spans="1:15">
      <c r="A11" s="1">
        <v>1</v>
      </c>
      <c r="B11" s="874" t="str">
        <f>"Net Funds from IPP Customers 12/31/"&amp;TCOS!L4-1&amp;" ("&amp;TCOS!L4&amp;" FORM 1, P269)"</f>
        <v>Net Funds from IPP Customers 12/31/2025 (2026 FORM 1, P269)</v>
      </c>
      <c r="C11" s="364">
        <v>0</v>
      </c>
    </row>
    <row r="12" spans="1:15">
      <c r="B12" s="3"/>
    </row>
    <row r="13" spans="1:15">
      <c r="A13" s="352">
        <v>2</v>
      </c>
      <c r="B13" s="874" t="s">
        <v>259</v>
      </c>
      <c r="C13" s="364">
        <v>0</v>
      </c>
    </row>
    <row r="14" spans="1:15">
      <c r="A14" s="352"/>
      <c r="B14" s="874"/>
    </row>
    <row r="15" spans="1:15">
      <c r="A15" s="352">
        <f>+A13+1</f>
        <v>3</v>
      </c>
      <c r="B15" s="874" t="s">
        <v>337</v>
      </c>
      <c r="C15" s="364">
        <v>0</v>
      </c>
    </row>
    <row r="16" spans="1:15">
      <c r="A16" s="352"/>
      <c r="B16" s="874"/>
    </row>
    <row r="17" spans="1:4">
      <c r="A17" s="352">
        <f>+A15+1</f>
        <v>4</v>
      </c>
      <c r="B17" s="875" t="s">
        <v>0</v>
      </c>
    </row>
    <row r="18" spans="1:4">
      <c r="A18" s="353">
        <f>+A17+1</f>
        <v>5</v>
      </c>
      <c r="B18" s="874" t="s">
        <v>338</v>
      </c>
      <c r="C18" s="364">
        <v>0</v>
      </c>
    </row>
    <row r="19" spans="1:4">
      <c r="A19" s="353">
        <f>+A18+1</f>
        <v>6</v>
      </c>
      <c r="B19" s="47" t="s">
        <v>414</v>
      </c>
      <c r="C19" s="364">
        <v>0</v>
      </c>
    </row>
    <row r="20" spans="1:4">
      <c r="A20" s="353"/>
      <c r="B20" s="3"/>
      <c r="C20" s="356"/>
    </row>
    <row r="21" spans="1:4">
      <c r="A21" s="353">
        <f>+A19+1</f>
        <v>7</v>
      </c>
      <c r="B21" s="874" t="str">
        <f>"Net Funds from IPP Customers 12/31/"&amp;TCOS!L4&amp;" ("&amp;TCOS!L4&amp;" FORM 1, P269)"</f>
        <v>Net Funds from IPP Customers 12/31/2026 (2026 FORM 1, P269)</v>
      </c>
      <c r="C21" s="357">
        <f>+C11+C13+C15+C18+C19</f>
        <v>0</v>
      </c>
      <c r="D21" s="358"/>
    </row>
    <row r="22" spans="1:4">
      <c r="A22" s="353"/>
      <c r="B22" s="355"/>
    </row>
    <row r="23" spans="1:4">
      <c r="A23" s="353">
        <f>+A21+1</f>
        <v>8</v>
      </c>
      <c r="B23" s="354" t="str">
        <f>"Average Balance for Year as Indicated in Column ((ln "&amp;A11&amp;" + ln "&amp;A21&amp;")/2)"</f>
        <v>Average Balance for Year as Indicated in Column ((ln 1 + ln 7)/2)</v>
      </c>
      <c r="C23" s="359">
        <f>AVERAGE(C21,C11)</f>
        <v>0</v>
      </c>
    </row>
    <row r="24" spans="1:4">
      <c r="A24" s="353"/>
      <c r="B24" s="355"/>
    </row>
    <row r="25" spans="1:4">
      <c r="A25" s="353"/>
      <c r="B25" s="355"/>
      <c r="C25" s="357"/>
    </row>
    <row r="26" spans="1:4" ht="15">
      <c r="A26" s="360" t="s">
        <v>295</v>
      </c>
      <c r="B26" s="1173" t="str">
        <f>"On this worksheet Company Records refers to  "&amp;A6&amp;"'s general ledger."</f>
        <v>On this worksheet Company Records refers to  AEP Kentucky Transmission Company's general ledger.</v>
      </c>
      <c r="C26" s="209"/>
    </row>
    <row r="27" spans="1:4">
      <c r="A27" s="361"/>
      <c r="B27" s="1174"/>
    </row>
    <row r="32" spans="1:4">
      <c r="D32" s="362"/>
    </row>
    <row r="38" spans="3:3">
      <c r="C38" s="363"/>
    </row>
  </sheetData>
  <mergeCells count="5">
    <mergeCell ref="B26:B27"/>
    <mergeCell ref="A3:E3"/>
    <mergeCell ref="A4:E4"/>
    <mergeCell ref="A5:E5"/>
    <mergeCell ref="A6:E6"/>
  </mergeCells>
  <phoneticPr fontId="0" type="noConversion"/>
  <pageMargins left="0.82" right="0.7" top="1" bottom="1" header="0.75" footer="0.5"/>
  <pageSetup scale="87" orientation="portrait" r:id="rId1"/>
  <headerFooter alignWithMargins="0">
    <oddHeader>&amp;R&amp;"Arial,Bold"Formula Rate 
&amp;A
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YXV0b1NlbGVjdGVkU3VnZ2VzdGlvbiI+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Q09SUFxzMjczNjg5PC9Vc2VyTmFtZT48RGF0ZVRpbWU+OS8yNy8yMDIzIDExOjQyOjI3IEFNPC9EYXRlVGltZT48TGFiZWxTdHJpbmc+QUVQIEludGVybmFsPC9MYWJlbFN0cmluZz48L2l0ZW0+PC9sYWJlbEhpc3Rvcnk+</Value>
</WrappedLabelHistory>
</file>

<file path=customXml/item2.xml><?xml version="1.0" encoding="utf-8"?>
<sisl xmlns:xsd="http://www.w3.org/2001/XMLSchema" xmlns:xsi="http://www.w3.org/2001/XMLSchema-instance" xmlns="http://www.boldonjames.com/2008/01/sie/internal/label" sislVersion="0" policy="e9c0b8d7-bdb4-4fd3-b62a-f50327aaefce" origin="autoSelectedSuggestion">
  <element uid="50c31824-0780-4910-87d1-eaaffd182d42" value=""/>
  <element uid="c64218ab-b8d1-40b6-a478-cb8be1e10ecc" value=""/>
</sisl>
</file>

<file path=customXml/itemProps1.xml><?xml version="1.0" encoding="utf-8"?>
<ds:datastoreItem xmlns:ds="http://schemas.openxmlformats.org/officeDocument/2006/customXml" ds:itemID="{B509404E-CD0E-4555-B86D-A903336D93B0}">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87814F6F-2084-4986-823B-916A606717CB}">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26</vt:i4>
      </vt:variant>
      <vt:variant>
        <vt:lpstr>Named Ranges</vt:lpstr>
      </vt:variant>
      <vt:variant>
        <vt:i4>24</vt:i4>
      </vt:variant>
    </vt:vector>
  </HeadingPairs>
  <TitlesOfParts>
    <vt:vector size="50" baseType="lpstr">
      <vt:lpstr>TCOS</vt:lpstr>
      <vt:lpstr>WS A - Rate Base Support</vt:lpstr>
      <vt:lpstr>WS B ADIT &amp; ITC</vt:lpstr>
      <vt:lpstr>WS B-1 - Actual Stmt. AF</vt:lpstr>
      <vt:lpstr>WS B-2 - Actual Stmt. AG</vt:lpstr>
      <vt:lpstr>WS B-3</vt:lpstr>
      <vt:lpstr>WS-B-3-A-Remeas Suprt</vt:lpstr>
      <vt:lpstr>WS C  - Working Capital</vt:lpstr>
      <vt:lpstr>WS D IPP Credits</vt:lpstr>
      <vt:lpstr>WS E Rev Credits</vt:lpstr>
      <vt:lpstr>WS F Misc Exp</vt:lpstr>
      <vt:lpstr>WS G  State Tax Rate</vt:lpstr>
      <vt:lpstr>WS H-p1 Other Taxes</vt:lpstr>
      <vt:lpstr>WS H-p2 Detail of Tax Amts</vt:lpstr>
      <vt:lpstr>WS I RESERVED</vt:lpstr>
      <vt:lpstr>WS J PROJECTED RTEP RR</vt:lpstr>
      <vt:lpstr>WS K TRUE-UP RTEP RR</vt:lpstr>
      <vt:lpstr>WS L RESERVED</vt:lpstr>
      <vt:lpstr>WS M - Cost of Capital</vt:lpstr>
      <vt:lpstr>WS N - Sale of Plant Held</vt:lpstr>
      <vt:lpstr>Worksheet O</vt:lpstr>
      <vt:lpstr>WS P Dep. Rates</vt:lpstr>
      <vt:lpstr>WS Q Cap Structure</vt:lpstr>
      <vt:lpstr>WS R Interest</vt:lpstr>
      <vt:lpstr>WS Schedule 12</vt:lpstr>
      <vt:lpstr>WS Schedule 1A</vt:lpstr>
      <vt:lpstr>NP_h</vt:lpstr>
      <vt:lpstr>NPh</vt:lpstr>
      <vt:lpstr>TCOS!Print_Area</vt:lpstr>
      <vt:lpstr>'Worksheet O'!Print_Area</vt:lpstr>
      <vt:lpstr>'WS B ADIT &amp; ITC'!Print_Area</vt:lpstr>
      <vt:lpstr>'WS D IPP Credits'!Print_Area</vt:lpstr>
      <vt:lpstr>'WS E Rev Credits'!Print_Area</vt:lpstr>
      <vt:lpstr>'WS F Misc Exp'!Print_Area</vt:lpstr>
      <vt:lpstr>'WS G  State Tax Rate'!Print_Area</vt:lpstr>
      <vt:lpstr>'WS H-p1 Other Taxes'!Print_Area</vt:lpstr>
      <vt:lpstr>'WS H-p2 Detail of Tax Amts'!Print_Area</vt:lpstr>
      <vt:lpstr>'WS I RESERVED'!Print_Area</vt:lpstr>
      <vt:lpstr>'WS J PROJECTED RTEP RR'!Print_Area</vt:lpstr>
      <vt:lpstr>'WS K TRUE-UP RTEP RR'!Print_Area</vt:lpstr>
      <vt:lpstr>'WS L RESERVED'!Print_Area</vt:lpstr>
      <vt:lpstr>'WS N - Sale of Plant Held'!Print_Area</vt:lpstr>
      <vt:lpstr>'WS P Dep. Rates'!Print_Area</vt:lpstr>
      <vt:lpstr>'WS Q Cap Structure'!Print_Area</vt:lpstr>
      <vt:lpstr>'WS A - Rate Base Support'!Print_Titles</vt:lpstr>
      <vt:lpstr>'WS C  - Working Capital'!Print_Titles</vt:lpstr>
      <vt:lpstr>'WS H-p1 Other Taxes'!Print_Titles</vt:lpstr>
      <vt:lpstr>'WS H-p2 Detail of Tax Amts'!Print_Titles</vt:lpstr>
      <vt:lpstr>'WS M - Cost of Capital'!Print_Titles</vt:lpstr>
      <vt:lpstr>'WS P Dep. Rates'!Print_Titles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creator/>
  <cp:keywords/>
  <cp:lastModifiedBy/>
  <cp:lastPrinted>1601-01-01T00:00:00Z</cp:lastPrinted>
  <dcterms:created xsi:type="dcterms:W3CDTF">1601-01-01T00:00:00Z</dcterms:created>
  <dcterms:modified xsi:type="dcterms:W3CDTF">2025-10-29T16:27:58Z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8ec5f41a-5ebc-4a44-a8e9-6072e67394cb</vt:lpwstr>
  </property>
  <property fmtid="{D5CDD505-2E9C-101B-9397-08002B2CF9AE}" pid="3" name="bjSaver">
    <vt:lpwstr>8nLAsadz8EP4iOoOx2MGVCL7CmDu+dAi</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bjDocumentLabelXML">
    <vt:lpwstr>&lt;?xml version="1.0" encoding="us-ascii"?&gt;&lt;sisl xmlns:xsd="http://www.w3.org/2001/XMLSchema" xmlns:xsi="http://www.w3.org/2001/XMLSchema-instance" sislVersion="0" policy="e9c0b8d7-bdb4-4fd3-b62a-f50327aaefce" origin="autoSelectedSuggestion" xmlns="http://w</vt:lpwstr>
  </property>
  <property fmtid="{D5CDD505-2E9C-101B-9397-08002B2CF9AE}" pid="7" name="bjDocumentLabelXML-0">
    <vt:lpwstr>ww.boldonjames.com/2008/01/sie/internal/label"&gt;&lt;element uid="50c31824-0780-4910-87d1-eaaffd182d42" value="" /&gt;&lt;element uid="c64218ab-b8d1-40b6-a478-cb8be1e10ecc" value="" /&gt;&lt;/sisl&gt;</vt:lpwstr>
  </property>
  <property fmtid="{D5CDD505-2E9C-101B-9397-08002B2CF9AE}" pid="8" name="MSIP_Label_69f43042-6bda-44b2-91eb-eca3d3d484f4_SiteId">
    <vt:lpwstr>15f3c881-6b03-4ff6-8559-77bf5177818f</vt:lpwstr>
  </property>
  <property fmtid="{D5CDD505-2E9C-101B-9397-08002B2CF9AE}" pid="9" name="MSIP_Label_69f43042-6bda-44b2-91eb-eca3d3d484f4_Name">
    <vt:lpwstr>AEP Internal</vt:lpwstr>
  </property>
  <property fmtid="{D5CDD505-2E9C-101B-9397-08002B2CF9AE}" pid="10" name="MSIP_Label_69f43042-6bda-44b2-91eb-eca3d3d484f4_Enabled">
    <vt:lpwstr>true</vt:lpwstr>
  </property>
  <property fmtid="{D5CDD505-2E9C-101B-9397-08002B2CF9AE}" pid="11" name="bjClsUserRVM">
    <vt:lpwstr>[]</vt:lpwstr>
  </property>
  <property fmtid="{D5CDD505-2E9C-101B-9397-08002B2CF9AE}" pid="12" name="bjLabelHistoryID">
    <vt:lpwstr>{B509404E-CD0E-4555-B86D-A903336D93B0}</vt:lpwstr>
  </property>
</Properties>
</file>